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https://vejenvarme.sharepoint.com/sites/VejenVarmevaerk/Ekstern/Skodborggruppen/Brugerøkonomi/Rugtoften 11 - Uffe/"/>
    </mc:Choice>
  </mc:AlternateContent>
  <xr:revisionPtr revIDLastSave="203" documentId="8_{37779B87-5C18-46B9-847F-845183B0D1B4}" xr6:coauthVersionLast="47" xr6:coauthVersionMax="47" xr10:uidLastSave="{61C4A6BE-ADA3-4A30-AEA4-F2418B15FBAE}"/>
  <bookViews>
    <workbookView xWindow="-105" yWindow="0" windowWidth="14610" windowHeight="15585" xr2:uid="{00000000-000D-0000-FFFF-FFFF00000000}"/>
  </bookViews>
  <sheets>
    <sheet name="Resultater" sheetId="13" r:id="rId1"/>
    <sheet name="Prisberegner" sheetId="2" r:id="rId2"/>
    <sheet name="Oplysninger" sheetId="15" r:id="rId3"/>
    <sheet name="Tabel resultat" sheetId="14" r:id="rId4"/>
  </sheets>
  <definedNames>
    <definedName name="solver_eng" localSheetId="1" hidden="1">1</definedName>
    <definedName name="solver_eng" localSheetId="0" hidden="1">1</definedName>
    <definedName name="solver_neg" localSheetId="1" hidden="1">1</definedName>
    <definedName name="solver_neg" localSheetId="0" hidden="1">1</definedName>
    <definedName name="solver_num" localSheetId="1" hidden="1">0</definedName>
    <definedName name="solver_num" localSheetId="0" hidden="1">0</definedName>
    <definedName name="solver_opt" localSheetId="1" hidden="1">Prisberegner!#REF!</definedName>
    <definedName name="solver_opt" localSheetId="0" hidden="1">Resultater!#REF!</definedName>
    <definedName name="solver_typ" localSheetId="1" hidden="1">1</definedName>
    <definedName name="solver_typ" localSheetId="0" hidden="1">1</definedName>
    <definedName name="solver_val" localSheetId="1" hidden="1">0</definedName>
    <definedName name="solver_val" localSheetId="0" hidden="1">0</definedName>
    <definedName name="solver_ver" localSheetId="1" hidden="1">3</definedName>
    <definedName name="solver_ver" localSheetId="0" hidden="1">3</definedName>
    <definedName name="_xlnm.Print_Area" localSheetId="1">Prisberegner!$B$2:$J$186</definedName>
    <definedName name="_xlnm.Print_Area" localSheetId="0">Resultater!$B$2:$M$59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1" i="2" l="1"/>
  <c r="D156" i="2"/>
  <c r="D151" i="2"/>
  <c r="D95" i="2"/>
  <c r="D105" i="2"/>
  <c r="E93" i="2"/>
  <c r="E72" i="2" l="1"/>
  <c r="E53" i="2"/>
  <c r="E144" i="2"/>
  <c r="E26" i="2"/>
  <c r="E28" i="2"/>
  <c r="J30" i="14" l="1"/>
  <c r="J16" i="14"/>
  <c r="C114" i="2"/>
  <c r="J20" i="14"/>
  <c r="J34" i="14"/>
  <c r="C108" i="2"/>
  <c r="J18" i="14"/>
  <c r="J17" i="14"/>
  <c r="J32" i="14"/>
  <c r="J31" i="14"/>
  <c r="J29" i="14"/>
  <c r="H108" i="2"/>
  <c r="H114" i="2"/>
  <c r="H120" i="2"/>
  <c r="J11" i="14"/>
  <c r="J10" i="14"/>
  <c r="J9" i="14"/>
  <c r="J8" i="14"/>
  <c r="H82" i="2" l="1"/>
  <c r="E95" i="2"/>
  <c r="F105" i="2"/>
  <c r="F101" i="2"/>
  <c r="E99" i="2"/>
  <c r="E101" i="2" s="1"/>
  <c r="F95" i="2"/>
  <c r="E76" i="2"/>
  <c r="E75" i="2"/>
  <c r="F83" i="2"/>
  <c r="F82" i="2"/>
  <c r="D58" i="13"/>
  <c r="E6" i="14"/>
  <c r="F6" i="14"/>
  <c r="H122" i="2" l="1"/>
  <c r="H56" i="13"/>
  <c r="H123" i="2"/>
  <c r="E183" i="2" l="1"/>
  <c r="E178" i="2"/>
  <c r="E156" i="2" l="1"/>
  <c r="E151" i="2"/>
  <c r="E31" i="2" l="1"/>
  <c r="E38" i="2" l="1"/>
  <c r="E78" i="2" s="1"/>
  <c r="E105" i="2" s="1"/>
  <c r="E42" i="2"/>
  <c r="E164" i="2" l="1"/>
  <c r="E165" i="2" s="1"/>
  <c r="E169" i="2" s="1"/>
  <c r="E173" i="2" s="1"/>
  <c r="E184" i="2" s="1"/>
  <c r="E138" i="2"/>
  <c r="E142" i="2" s="1"/>
  <c r="E146" i="2" s="1"/>
  <c r="E152" i="2" s="1"/>
  <c r="E77" i="2"/>
  <c r="E80" i="2" s="1"/>
  <c r="E43" i="2"/>
  <c r="E47" i="2" s="1"/>
  <c r="E108" i="2" l="1"/>
  <c r="D34" i="14" s="1"/>
  <c r="E120" i="2"/>
  <c r="E121" i="2" s="1"/>
  <c r="E55" i="2"/>
  <c r="F30" i="14"/>
  <c r="F42" i="14"/>
  <c r="F54" i="14"/>
  <c r="F31" i="14"/>
  <c r="F43" i="14"/>
  <c r="F55" i="14"/>
  <c r="F32" i="14"/>
  <c r="F44" i="14"/>
  <c r="F56" i="14"/>
  <c r="F33" i="14"/>
  <c r="F45" i="14"/>
  <c r="F53" i="14"/>
  <c r="F22" i="14"/>
  <c r="F34" i="14"/>
  <c r="F46" i="14"/>
  <c r="F52" i="14"/>
  <c r="F23" i="14"/>
  <c r="F35" i="14"/>
  <c r="F47" i="14"/>
  <c r="F40" i="14"/>
  <c r="F24" i="14"/>
  <c r="F36" i="14"/>
  <c r="F48" i="14"/>
  <c r="F25" i="14"/>
  <c r="F37" i="14"/>
  <c r="F49" i="14"/>
  <c r="F26" i="14"/>
  <c r="F38" i="14"/>
  <c r="F50" i="14"/>
  <c r="F28" i="14"/>
  <c r="F27" i="14"/>
  <c r="F39" i="14"/>
  <c r="F51" i="14"/>
  <c r="F29" i="14"/>
  <c r="F41" i="14"/>
  <c r="E179" i="2"/>
  <c r="C10" i="14"/>
  <c r="C8" i="14"/>
  <c r="C11" i="14"/>
  <c r="C7" i="14"/>
  <c r="C9" i="14"/>
  <c r="E157" i="2"/>
  <c r="D10" i="14" l="1"/>
  <c r="D30" i="14"/>
  <c r="D27" i="14"/>
  <c r="D38" i="14"/>
  <c r="D36" i="14"/>
  <c r="D41" i="14"/>
  <c r="D31" i="14"/>
  <c r="D51" i="14"/>
  <c r="D53" i="14"/>
  <c r="D32" i="14"/>
  <c r="D23" i="14"/>
  <c r="D43" i="14"/>
  <c r="D20" i="14"/>
  <c r="D8" i="14"/>
  <c r="D33" i="14"/>
  <c r="D12" i="14"/>
  <c r="D17" i="14"/>
  <c r="D24" i="14"/>
  <c r="D39" i="14"/>
  <c r="D42" i="14"/>
  <c r="D15" i="14"/>
  <c r="D25" i="14"/>
  <c r="D50" i="14"/>
  <c r="D44" i="14"/>
  <c r="D40" i="14"/>
  <c r="D56" i="14"/>
  <c r="D11" i="14"/>
  <c r="D49" i="14"/>
  <c r="D19" i="14"/>
  <c r="D47" i="14"/>
  <c r="D22" i="14"/>
  <c r="D37" i="14"/>
  <c r="D55" i="14"/>
  <c r="D35" i="14"/>
  <c r="D45" i="14"/>
  <c r="D28" i="14"/>
  <c r="D18" i="14"/>
  <c r="D21" i="14"/>
  <c r="D16" i="14"/>
  <c r="D46" i="14"/>
  <c r="D13" i="14"/>
  <c r="D48" i="14"/>
  <c r="D29" i="14"/>
  <c r="D14" i="14"/>
  <c r="D54" i="14"/>
  <c r="D26" i="14"/>
  <c r="D7" i="14"/>
  <c r="I15" i="14" s="1"/>
  <c r="D9" i="14"/>
  <c r="D52" i="14"/>
  <c r="E123" i="2"/>
  <c r="H58" i="13" s="1"/>
  <c r="E122" i="2"/>
  <c r="H57" i="13" s="1"/>
  <c r="F18" i="14"/>
  <c r="F7" i="14"/>
  <c r="F19" i="14"/>
  <c r="F8" i="14"/>
  <c r="F20" i="14"/>
  <c r="F9" i="14"/>
  <c r="F21" i="14"/>
  <c r="F10" i="14"/>
  <c r="F11" i="14"/>
  <c r="F12" i="14"/>
  <c r="F16" i="14"/>
  <c r="F13" i="14"/>
  <c r="F14" i="14"/>
  <c r="F15" i="14"/>
  <c r="F17" i="14"/>
  <c r="C30" i="14"/>
  <c r="E28" i="14"/>
  <c r="E36" i="14"/>
  <c r="E44" i="14"/>
  <c r="E52" i="14"/>
  <c r="E32" i="14"/>
  <c r="E50" i="14"/>
  <c r="E43" i="14"/>
  <c r="E29" i="14"/>
  <c r="E37" i="14"/>
  <c r="E45" i="14"/>
  <c r="E53" i="14"/>
  <c r="E54" i="14"/>
  <c r="E47" i="14"/>
  <c r="E24" i="14"/>
  <c r="E56" i="14"/>
  <c r="E27" i="14"/>
  <c r="E30" i="14"/>
  <c r="E38" i="14"/>
  <c r="E46" i="14"/>
  <c r="E39" i="14"/>
  <c r="E48" i="14"/>
  <c r="E34" i="14"/>
  <c r="E23" i="14"/>
  <c r="E31" i="14"/>
  <c r="E55" i="14"/>
  <c r="E40" i="14"/>
  <c r="E42" i="14"/>
  <c r="E51" i="14"/>
  <c r="E25" i="14"/>
  <c r="E33" i="14"/>
  <c r="E41" i="14"/>
  <c r="E49" i="14"/>
  <c r="E26" i="14"/>
  <c r="E35" i="14"/>
  <c r="E7" i="14"/>
  <c r="E12" i="14"/>
  <c r="E20" i="14"/>
  <c r="E13" i="14"/>
  <c r="E21" i="14"/>
  <c r="E8" i="14"/>
  <c r="E14" i="14"/>
  <c r="E22" i="14"/>
  <c r="E16" i="14"/>
  <c r="E19" i="14"/>
  <c r="E15" i="14"/>
  <c r="E11" i="14"/>
  <c r="E9" i="14"/>
  <c r="E17" i="14"/>
  <c r="E10" i="14"/>
  <c r="E18" i="14"/>
  <c r="C46" i="14"/>
  <c r="C13" i="14"/>
  <c r="C36" i="14"/>
  <c r="C50" i="14"/>
  <c r="C24" i="14"/>
  <c r="C44" i="14"/>
  <c r="C41" i="14"/>
  <c r="C56" i="14"/>
  <c r="C37" i="14"/>
  <c r="C39" i="14"/>
  <c r="C29" i="14"/>
  <c r="C31" i="14"/>
  <c r="C19" i="14"/>
  <c r="C35" i="14"/>
  <c r="C42" i="14"/>
  <c r="C48" i="14"/>
  <c r="C14" i="14"/>
  <c r="H55" i="13"/>
  <c r="C45" i="14"/>
  <c r="C27" i="14"/>
  <c r="C17" i="14"/>
  <c r="C47" i="14"/>
  <c r="C51" i="14"/>
  <c r="C22" i="14"/>
  <c r="C21" i="14"/>
  <c r="C34" i="14"/>
  <c r="C40" i="14"/>
  <c r="C23" i="14"/>
  <c r="C18" i="14"/>
  <c r="C52" i="14"/>
  <c r="C26" i="14"/>
  <c r="C32" i="14"/>
  <c r="C15" i="14"/>
  <c r="C54" i="14"/>
  <c r="C20" i="14"/>
  <c r="C33" i="14"/>
  <c r="C16" i="14"/>
  <c r="C28" i="14"/>
  <c r="C38" i="14"/>
  <c r="C49" i="14"/>
  <c r="C53" i="14"/>
  <c r="C43" i="14"/>
  <c r="C25" i="14"/>
  <c r="C55" i="14"/>
  <c r="C12" i="14"/>
  <c r="I16" i="14" a="1"/>
  <c r="I30" i="14" a="1"/>
  <c r="I18" i="14" a="1"/>
  <c r="I32" i="14" a="1"/>
  <c r="I31" i="14" a="1"/>
  <c r="I17" i="14" a="1"/>
  <c r="I16" i="14" l="1"/>
  <c r="I18" i="14"/>
  <c r="I17" i="14"/>
  <c r="I30" i="14"/>
  <c r="F58" i="14"/>
  <c r="F61" i="14" s="1"/>
  <c r="I31" i="14"/>
  <c r="I32" i="14"/>
  <c r="C58" i="14"/>
  <c r="C61" i="14" s="1"/>
  <c r="E58" i="14"/>
  <c r="E61" i="14" s="1"/>
  <c r="G40" i="14"/>
  <c r="G19" i="14"/>
  <c r="G17" i="14"/>
  <c r="G9" i="14"/>
  <c r="G20" i="14"/>
  <c r="G50" i="14"/>
  <c r="G15" i="14"/>
  <c r="G44" i="14"/>
  <c r="G43" i="14"/>
  <c r="G16" i="14"/>
  <c r="G33" i="14"/>
  <c r="G35" i="14"/>
  <c r="G55" i="14"/>
  <c r="G49" i="14"/>
  <c r="G46" i="14"/>
  <c r="I21" i="14" l="1" a="1"/>
  <c r="E110" i="2" s="1"/>
  <c r="G12" i="14"/>
  <c r="G53" i="14"/>
  <c r="G13" i="14"/>
  <c r="G48" i="14"/>
  <c r="G51" i="14"/>
  <c r="G14" i="14"/>
  <c r="G38" i="14"/>
  <c r="G41" i="14"/>
  <c r="G54" i="14"/>
  <c r="G18" i="14"/>
  <c r="G10" i="14"/>
  <c r="G56" i="14"/>
  <c r="G8" i="14"/>
  <c r="G36" i="14"/>
  <c r="G47" i="14"/>
  <c r="G39" i="14"/>
  <c r="G52" i="14"/>
  <c r="G21" i="14"/>
  <c r="G11" i="14"/>
  <c r="G34" i="14"/>
  <c r="G26" i="14"/>
  <c r="G45" i="14"/>
  <c r="I29" i="14" a="1"/>
  <c r="C109" i="2" l="1"/>
  <c r="C110" i="2"/>
  <c r="I21" i="14"/>
  <c r="E109" i="2" s="1"/>
  <c r="C111" i="2"/>
  <c r="E111" i="2"/>
  <c r="I29" i="14"/>
  <c r="I35" i="14" s="1" a="1"/>
  <c r="G37" i="14"/>
  <c r="G42" i="14"/>
  <c r="C117" i="2" l="1"/>
  <c r="C118" i="2"/>
  <c r="C115" i="2"/>
  <c r="C116" i="2"/>
  <c r="E117" i="2"/>
  <c r="E118" i="2"/>
  <c r="E116" i="2"/>
  <c r="I35" i="14"/>
  <c r="E115" i="2" s="1"/>
  <c r="I28" i="14"/>
  <c r="I34" i="14" s="1"/>
  <c r="E114" i="2" s="1"/>
  <c r="G7" i="14"/>
  <c r="I20" i="14"/>
  <c r="D51" i="13" l="1"/>
  <c r="D52" i="13"/>
  <c r="D49" i="13"/>
  <c r="D50" i="13"/>
  <c r="D48" i="13"/>
  <c r="G32" i="14" l="1"/>
  <c r="G23" i="14"/>
  <c r="G24" i="14"/>
  <c r="G25" i="14"/>
  <c r="H49" i="13"/>
  <c r="G28" i="14"/>
  <c r="G22" i="14"/>
  <c r="H51" i="13"/>
  <c r="G30" i="14"/>
  <c r="H52" i="13"/>
  <c r="G31" i="14"/>
  <c r="H48" i="13"/>
  <c r="G27" i="14"/>
  <c r="H50" i="13"/>
  <c r="G29" i="14"/>
  <c r="D58" i="14" l="1"/>
  <c r="D61"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<sst xmlns="http://schemas.openxmlformats.org/spreadsheetml/2006/main" count="438" uniqueCount="311">
  <si>
    <t>Vejen Varmeværk</t>
  </si>
  <si>
    <t>Resultat af prisberegninger</t>
  </si>
  <si>
    <t>Prisberegningerne er vejledende. Brugeren af prisberegneren er selv ansvarlig for de indtastede forudsætninger.</t>
  </si>
  <si>
    <t>Årlig besparelse på langsigtede omkostninger inkl. afskrivning</t>
  </si>
  <si>
    <t xml:space="preserve">      kr./normalår</t>
  </si>
  <si>
    <t>Disse beløb svarer til de forskellige afstande mellem linjerne for hhv. fjernvarme og gas på grafen herover.</t>
  </si>
  <si>
    <t>Årlig besparelse på drift og simpel tilbagebetalingstid på investering</t>
  </si>
  <si>
    <t>Årlig besparelse på rene driftsomkostninger (varmeregning)</t>
  </si>
  <si>
    <t>kr./normalår</t>
  </si>
  <si>
    <t>Evt. abonnement og/eller tilslutningstillæg er indreg-net som driftsomkostning.</t>
  </si>
  <si>
    <t>Samlet investering i fjernvarme efter fradrag</t>
  </si>
  <si>
    <t>kr.</t>
  </si>
  <si>
    <t>Simpel tilbagebetalingstid på investering</t>
  </si>
  <si>
    <t>år</t>
  </si>
  <si>
    <t>"Fjernvarmeselskabets navn"</t>
  </si>
  <si>
    <t>Oplysninger og forudsætninger</t>
  </si>
  <si>
    <t>Grønne felter skal udfyldes eller være 0, da de anvendes i beregningerne.</t>
  </si>
  <si>
    <t>Orange felter har rulleliste til valg. Tryk på cellen og derefter på pilen.</t>
  </si>
  <si>
    <t>Kunde</t>
  </si>
  <si>
    <t>Navn</t>
  </si>
  <si>
    <t>Vejnavn</t>
  </si>
  <si>
    <t>Postnummer og by</t>
  </si>
  <si>
    <t>Kontaktoplysninger</t>
  </si>
  <si>
    <t>Oplysninger om boligen</t>
  </si>
  <si>
    <t>Opvarmet areal (bidrags-grundlag)</t>
  </si>
  <si>
    <t>m2</t>
  </si>
  <si>
    <t>Se evt. BBR oplysninger på www.ois.dk</t>
  </si>
  <si>
    <t>Årsforbrug i afregningskubikmeter</t>
  </si>
  <si>
    <t>Nm3</t>
  </si>
  <si>
    <t>Ved alle Nm3 menes der afregnings-Nm3</t>
  </si>
  <si>
    <t>Se fanen oplysninger for info</t>
  </si>
  <si>
    <t>Graddagekorrektion af boligens gasforbrug</t>
  </si>
  <si>
    <t>Graddage på normalår</t>
  </si>
  <si>
    <t>Der anvendes DMI graddage</t>
  </si>
  <si>
    <t>Hvilket år er oplyst gasforbrug fra?</t>
  </si>
  <si>
    <t>(vælg fra liste i celle)</t>
  </si>
  <si>
    <t>Antal graddage i året</t>
  </si>
  <si>
    <t>Graddage-afhængig andel af energiforbrug</t>
  </si>
  <si>
    <t>Standard hus: 0,7. Se fanen 'oplysninger'</t>
  </si>
  <si>
    <t>Graddage-korrigeret gasforbrug</t>
  </si>
  <si>
    <t>Nm3/normalår</t>
  </si>
  <si>
    <t>Brændværdi naturgas (nedre)</t>
  </si>
  <si>
    <t xml:space="preserve">kWh/Nm3. </t>
  </si>
  <si>
    <t>Svarer til 12,157 kWh/Nm3 i øvre brændværdi.</t>
  </si>
  <si>
    <t>Årsvirkningsgrad gasfyr (ved nedre brændværdi)</t>
  </si>
  <si>
    <t>%</t>
  </si>
  <si>
    <t>Standardværdier: Se fanen 'oplysninger'</t>
  </si>
  <si>
    <t>Pris naturgas</t>
  </si>
  <si>
    <t>kr./Nm3</t>
  </si>
  <si>
    <t>Se priser på gasprisguiden.dk</t>
  </si>
  <si>
    <t>Abonnement naturgas</t>
  </si>
  <si>
    <t>kr./måned</t>
  </si>
  <si>
    <t>Sæt til 0 hvis abonnement er indregnet i gaspris</t>
  </si>
  <si>
    <t>Varmebehov for bolig ved indtastet forbrug</t>
  </si>
  <si>
    <t>kWh/normalår</t>
  </si>
  <si>
    <t>Udregnet iht. indtastet virksningsgrad</t>
  </si>
  <si>
    <t>Naturgas omkostninger</t>
  </si>
  <si>
    <t>Gasforbrug</t>
  </si>
  <si>
    <t>Udgift til gaskøb og abonnement</t>
  </si>
  <si>
    <t>Vedligehold</t>
  </si>
  <si>
    <t>kr./år</t>
  </si>
  <si>
    <t>Se fanen 'Oplysninger' for info om disse værdier.</t>
  </si>
  <si>
    <t>Eftersyn</t>
  </si>
  <si>
    <t>Strømforbrug til drift</t>
  </si>
  <si>
    <t>Samlede driftsomkostninger</t>
  </si>
  <si>
    <t>Investering i ny gaskedel</t>
  </si>
  <si>
    <t>Resterende levetid på anlæg</t>
  </si>
  <si>
    <t>Omkostninger ved geninvestering</t>
  </si>
  <si>
    <t>Alle omkostninger minus evt. fradrag</t>
  </si>
  <si>
    <t>Afskrivningsperiode (levetid)</t>
  </si>
  <si>
    <t>Hvis afskrivningsperiode sættes til 0 antages ovenstående omkostning (felt E47) fremad.</t>
  </si>
  <si>
    <t>Afskrivning                                          Rente:</t>
  </si>
  <si>
    <t>Samlede omkostninger ved geninvestering</t>
  </si>
  <si>
    <t>Prisberegninger - Naturgas og fjernvarme</t>
  </si>
  <si>
    <t>Fjernvarmeselskab priser</t>
  </si>
  <si>
    <t>Effektbidrag</t>
  </si>
  <si>
    <t>kr./m2</t>
  </si>
  <si>
    <t>Abonnement</t>
  </si>
  <si>
    <t>Variabelt bidrag (energipris)</t>
  </si>
  <si>
    <t>kr./MWh</t>
  </si>
  <si>
    <t>Skodborgtillæg</t>
  </si>
  <si>
    <t>Betales  i 30 år fra tilkobling til fjernvamen</t>
  </si>
  <si>
    <t>Fjernvarme omkostninger</t>
  </si>
  <si>
    <t>Skodborg Tillæg årligt</t>
  </si>
  <si>
    <t>Service og vedligehold</t>
  </si>
  <si>
    <t>Anvend abonnementsbidrag (for unit)</t>
  </si>
  <si>
    <t>Ja</t>
  </si>
  <si>
    <t>Anvend område- / tilslutningstillæg</t>
  </si>
  <si>
    <t>Nej</t>
  </si>
  <si>
    <t xml:space="preserve"> -&gt; Periode for tillæg</t>
  </si>
  <si>
    <t>År</t>
  </si>
  <si>
    <t>Investeringsomkostninger fjernvarme (tilslutningsbidrag)</t>
  </si>
  <si>
    <t>Selskabets investeringsbidrag</t>
  </si>
  <si>
    <t xml:space="preserve">Selskabets stikledningsbidrag </t>
  </si>
  <si>
    <t>Se mere om fradrag under fanen 'Oplysninger'.</t>
  </si>
  <si>
    <t>-&gt; Heraf lønudgifter til stik ift. håndværkerfradrag</t>
  </si>
  <si>
    <t>Lønudgifterne skal fremgå af kundens regning.</t>
  </si>
  <si>
    <t>Afkoblingsgebyr gasnettet</t>
  </si>
  <si>
    <t>Husk afkoblingsordningen. Se fanen 'Oplysninger'.</t>
  </si>
  <si>
    <t>Samlet tilslutningsbidrag</t>
  </si>
  <si>
    <t xml:space="preserve">Afskrives selvstændigt, da en senere investering for kunden kun vil omfatte tilslutningsanlæg, men ikke nyt investerings- og stikledningsbidrag. </t>
  </si>
  <si>
    <t>Afskrivningsperiode på tilslutningsbidrag</t>
  </si>
  <si>
    <t>Afskrivning af engangsbidragene      Rente:</t>
  </si>
  <si>
    <t>Tilslutningsanlæg (unit) og VVS-udgifter</t>
  </si>
  <si>
    <t>-&gt; Heraf lønudgifter ift. håndværkerfradrag</t>
  </si>
  <si>
    <t>Se info om fradraget under 'Oplysninger'.</t>
  </si>
  <si>
    <t>Omkostning til unit og VVS efter fradrag</t>
  </si>
  <si>
    <t>Afskrivningsperiode (levetid) på unit</t>
  </si>
  <si>
    <t>Afskrivning af investering i unit         Rente:</t>
  </si>
  <si>
    <t>Kan unitten levetidsforlænges eller er udskiftning billigere end ny-installation, bliver afskrivningen lavere. Håndværkerfradrag indregnes ikke automatisk. Hvis afskrivningsperiode sættes til 0 antages ovenstående ny-omkostning (felt E99).</t>
  </si>
  <si>
    <t>Levetidsforlængelse / ny unit efter anslået levetid</t>
  </si>
  <si>
    <t>Samlet omkostning til fjernvarme (drift og afskrivning)</t>
  </si>
  <si>
    <t>Årlig besparelse inkl. afskrivning på fjernvarme</t>
  </si>
  <si>
    <t>Besparelse på driftsudgifter (uden afskrivninger)</t>
  </si>
  <si>
    <t>Svarer til besparelse på varmeregning på</t>
  </si>
  <si>
    <t>-&gt; Simpel tilbagebetalingstid ift. ny gaskedel</t>
  </si>
  <si>
    <t>Prisberegninger - Alternative investeringer</t>
  </si>
  <si>
    <t xml:space="preserve">Orange felter har rulleliste til valg. Tryk på cellen og derefter </t>
  </si>
  <si>
    <r>
      <t xml:space="preserve">Varmepumpe (luft-vand eller jordvarme) - </t>
    </r>
    <r>
      <rPr>
        <b/>
        <sz val="14"/>
        <color rgb="FFFF0000"/>
        <rFont val="Calibri"/>
        <family val="2"/>
        <scheme val="minor"/>
      </rPr>
      <t>OK Abonnemnet</t>
    </r>
  </si>
  <si>
    <t>Aktiver på grafer på fanen 'resultater'</t>
  </si>
  <si>
    <t>Årsvirkningsgrad VP (SCOP inkl. brugsvand)</t>
  </si>
  <si>
    <t>SCOP</t>
  </si>
  <si>
    <t>Se info under fanen "Oplysninger".</t>
  </si>
  <si>
    <t>Elforbrug</t>
  </si>
  <si>
    <t>kWh</t>
  </si>
  <si>
    <t>Elpris</t>
  </si>
  <si>
    <t>kr./kWh</t>
  </si>
  <si>
    <t>Se priser på elpris.dk. Husk lav elvarmeafgift.</t>
  </si>
  <si>
    <t>Se afgift under fanen "Oplysninger".</t>
  </si>
  <si>
    <t>Driftsomkostninger</t>
  </si>
  <si>
    <t>Elektricitet</t>
  </si>
  <si>
    <t>Abonnement pr. mdr</t>
  </si>
  <si>
    <t>Abonnement pr. år</t>
  </si>
  <si>
    <t>Lovpligtigt eftersyn.</t>
  </si>
  <si>
    <t>Engangsyelse ved opstart af abonnement</t>
  </si>
  <si>
    <t>Inkl. alle omkostninger, tilskud og fradrag</t>
  </si>
  <si>
    <t>Omkostninger til tilpasning af varmesystem</t>
  </si>
  <si>
    <t>Samlede omkostninger ved nyinvestering</t>
  </si>
  <si>
    <t>Levetidsforlængelse efter anslået levetid</t>
  </si>
  <si>
    <t>Hvis afskrivningsperiode sættes til 0 antages ovenstående omkostning (felt E149) fremad.</t>
  </si>
  <si>
    <t>Samlede omkostninger efter levetidsforlængelse</t>
  </si>
  <si>
    <t>Træpillekedel</t>
  </si>
  <si>
    <t>Årsvirkningsgrad kedel</t>
  </si>
  <si>
    <t>Brændselsforbrug</t>
  </si>
  <si>
    <t>kg træpiller</t>
  </si>
  <si>
    <t>Pris træpiller</t>
  </si>
  <si>
    <t>kr./kg</t>
  </si>
  <si>
    <t xml:space="preserve">Driftsomkostninger </t>
  </si>
  <si>
    <t>Træpiller</t>
  </si>
  <si>
    <t>Eftersyn og skorstensfejer</t>
  </si>
  <si>
    <t>Investeringsomkostninger</t>
  </si>
  <si>
    <t>Omkostninger til tilpasning af varmeanlæg</t>
  </si>
  <si>
    <t>Hvis afskrivningsperiode sættes til 0 antages ovenstående omkostning (felt E176) fremad.</t>
  </si>
  <si>
    <t>Herunder findes nogle standardforudsætninger, som kan anvendes i prisberegneren</t>
  </si>
  <si>
    <t xml:space="preserve">For spørgsmål eller input til beregneren kontakt Uffe Hjortshøj, ush@danskfjernvarme.dk  </t>
  </si>
  <si>
    <t xml:space="preserve">Standard virkningsgrader naturgaskedel (nedre brændværdi): </t>
  </si>
  <si>
    <t xml:space="preserve">Kilde: Dansk Gasteknisk Center </t>
  </si>
  <si>
    <t>Kilde: EVIDA, Beregningsforudsætninger i projektforslag</t>
  </si>
  <si>
    <t>https://www.dgc.dk/sites/default/files/filer/publikationer/A1503_gaskedler_virkningsgrad.pdf</t>
  </si>
  <si>
    <t>https://evida.dk/varmeplanlaegning/beregningsforudsaetninger/</t>
  </si>
  <si>
    <t>Henviser til rapport fra Dansk Gasteknisk Center: https://www.dgc.dk/sites/default/files/filer/publikationer/R1603_facts_gas_boilers.pdf</t>
  </si>
  <si>
    <t xml:space="preserve">Brændværdie og kubikmeter ift. forbrugerens afregning </t>
  </si>
  <si>
    <t>I prisberegneren skal forbruget indtastes som det antal "afregningskubikmeter", som forbrugeren har betalt for - ikke det målte antal kubikmeter, da der sker en omregning mellem de to.</t>
  </si>
  <si>
    <t>Naturgas afregnes altid i et antal "afregningskubikmeter", som er defineret ud fra en øvre brændværdi på 12,157 kWh/Nm3. Den nedre brændværdi er 11,02 kWh/Nm3.</t>
  </si>
  <si>
    <t xml:space="preserve">Den faktiske øvre brændværdi på naturgassen i nettet måles løbende og afhænger f.eks. af biogasindholdet. På afregningen vil der derfor være en omregning fra det målte antal Nm3 til afregningskubikmeter. </t>
  </si>
  <si>
    <t xml:space="preserve">Er der målt et forbrug på 3.219 Nm3 med en øvre brændværdi for gasleverancer 12,035 kWh/Nm3, bliver antallet af afregningskubikmeter altså 3.219 Nm3 * (12,035/12,157) = 3.186,7 afregnings-m3.
</t>
  </si>
  <si>
    <t>Kilde: SKAT juridisk vejledning, afsnit E.A.4.4.7.2 Beregning af afgiftsgrundlag</t>
  </si>
  <si>
    <t xml:space="preserve">Lovpligtigt serviceeftersyn på naturgaskedler </t>
  </si>
  <si>
    <t>Typisk hvert 2. år (https://www.gastech.dk/regler-for-eftersyn-af-gasfyr/)</t>
  </si>
  <si>
    <t xml:space="preserve">Pris på servicebesøg hver 2. år er ca. 940 kr./år </t>
  </si>
  <si>
    <t>Kilde: https://www.ok-energiteknik.dk/privat/service/gasfyrsservice</t>
  </si>
  <si>
    <t>Pris på serviceaftale hvert 2. år og tilkald er ca. 1520 kr./år</t>
  </si>
  <si>
    <t>Kilde: https://www.seas-nve.dk/privat/naturgas/tryghed</t>
  </si>
  <si>
    <t>Levetid på naturgaskedler</t>
  </si>
  <si>
    <t>Gaskedler priser</t>
  </si>
  <si>
    <t>Ny gaskedel inkl. standardinstallation</t>
  </si>
  <si>
    <t>Kilder:</t>
  </si>
  <si>
    <t>https://kampagne.soeberg.dk/gaskedler-tilbud-2020?utm_source=google&amp;utm_medium=cpc&amp;utm_term=udskiftning%20af%20gasfyr&amp;utm_content=480726923714&amp;utm_campaign=S%C3%B8gning:%20Gaskedel&amp;adgroup_id=113834284312&amp;network=g&amp;device=c&amp;gclid=Cj0KCQiA4feBBhC9ARIsABp_nbV0eM9Wl0vE6A13wydEzDV_J-wjjdkwlG0dBt39TNGc4SG1hwTGJjIaApoXEALw_wcB</t>
  </si>
  <si>
    <t>- Uden beholder omkring:</t>
  </si>
  <si>
    <t>kr. inkl. moms efter håndværkerfradrag på 3.850 kr. er fratrukket</t>
  </si>
  <si>
    <t>https://www.gasfyrtilbud.dk/?gclid=Cj0KCQiAvvKBBhCXARIsACTePW-4-XO4L8DNlCyurQ4MyQ9uFirRyPi5Kwb7F7wE91Co62JxYI9reEAaAnLYEALw_wcB</t>
  </si>
  <si>
    <t>- Med beholder omkring:</t>
  </si>
  <si>
    <t>kr. inkl. moms efter håndværkerfradrag på 4.200 kr. er fratrukket</t>
  </si>
  <si>
    <t>Gaskedler strømforbrug</t>
  </si>
  <si>
    <t xml:space="preserve">"Der har været en stor forbedring gennem årene fra &gt; 500 kWh/år for 20 år siden </t>
  </si>
  <si>
    <t xml:space="preserve">Kilde: Fakta om gas til boligopvarmning, DGC, Nov. 2020; </t>
  </si>
  <si>
    <t>til ca. 200 kWh/år i dag for moderne kedler.</t>
  </si>
  <si>
    <t xml:space="preserve">https://www.gasfakta.dk/sites/default/files/inline-files/Fakta_gas_boligopvarmning_nov2020.pdf </t>
  </si>
  <si>
    <t>Traditionel åben kedel eksempel: 668 kWh/år</t>
  </si>
  <si>
    <t>Kilde:</t>
  </si>
  <si>
    <t xml:space="preserve">https://bosch-climatepartner.dk/gasfyr-naturgas/ </t>
  </si>
  <si>
    <t>Afkoblingsordningen - Midlertidig ordning til dækning af afkoblingsgebyr</t>
  </si>
  <si>
    <t>Normalt koster det ca. 7-8.000 kr. inkl. moms at blive frakoblet gasnettet afhængig af postnummer.</t>
  </si>
  <si>
    <t xml:space="preserve">Præcis udgift kan findes på </t>
  </si>
  <si>
    <t>https://evida.dk/kundeservice/priser-og-betingelser/frakobling-fra-gasnettet/</t>
  </si>
  <si>
    <t>Når tilskudspuljen åbner, kan forbrugeren få dækket denne omkostning.</t>
  </si>
  <si>
    <t>https://ens.dk/service/tilskuds-stoetteordninger/afkoblingsordningen</t>
  </si>
  <si>
    <t>"Afkoblingsordningen er en midlertidig ordning, der gør det muligt at få dækket gebyret for afkobling (frakobling) fra gassystemet."</t>
  </si>
  <si>
    <t xml:space="preserve">Skorstensfejer priser </t>
  </si>
  <si>
    <t>Skorstensfejlning og rensning koster ca. 450 kr. inkl. moms. pr. år. for en centralkedel.</t>
  </si>
  <si>
    <t>Standardpriser: https://www.kl.dk/kommunale-opgaver/teknik-og-miljoe/bolig-byggeri-og-energi/skorstensfejning/</t>
  </si>
  <si>
    <t>Bemærk at der ikke er krav om skorstensfejning ved gaskedler. (https://www.bolius.dk/love-og-regler-om-skorstene-19159#Hvilke-regler-g%C3%A6lder-for-rensning-af-skorstenen)</t>
  </si>
  <si>
    <t>Graddage-uafhængigt forbrug (GUF)</t>
  </si>
  <si>
    <t>Det graddage-uafhængige forbrug 'GUF' er forbruget til produktion af varmt brugsvand, som er uafhængigt af årets graddage.</t>
  </si>
  <si>
    <t>Graddage afhængigt forbrug 'GAF' = 1 - GUF</t>
  </si>
  <si>
    <t xml:space="preserve">Bemærk at nye bygninger med meget lavt varmebehov kan have et højere GUF   </t>
  </si>
  <si>
    <t>end værdierne i tabellen, da brugsvandsproduktionen (især med cirkulation) udgør</t>
  </si>
  <si>
    <t>en større andel af energiforbruget.</t>
  </si>
  <si>
    <t xml:space="preserve">Håndbog for Energikonsulenter (HB2016) </t>
  </si>
  <si>
    <t>Håndværkerfradrag</t>
  </si>
  <si>
    <t>BEMÆRK: Håndværkerfradraget er afskaffet pr. 1/3-2022.</t>
  </si>
  <si>
    <t>Fra 1. januar til 31. marts
2022 er fradraget igen nedsat til 12.900 kr. Arbejdet skal være udført senest den 31. marts.</t>
  </si>
  <si>
    <t>Fradraget for håndværksydelser var i 2021 på 25.000 kr. pr. person over 18 år i husstanden.</t>
  </si>
  <si>
    <t>https://www.bdo.dk/da-dk/faglig-info/depechen/depechen-artikler-2021/haandvaerkerfradrag-saadan-bliver-de-nye-regler-i-2021</t>
  </si>
  <si>
    <t>Det er kun arbejdslønnen inklusive moms, der berettiger til håndværkerfradrag. Den skattemæssige værdi er 26 % af udgiften.</t>
  </si>
  <si>
    <t>På SKAT's positivliste fremgår både "Etablering af stikledning" og "Udskiftning eller reparation af fjernvarmeunits"</t>
  </si>
  <si>
    <t>https://skat.dk/skat.aspx?oid=2234759</t>
  </si>
  <si>
    <t>som fradragsberettigede omkostninger.</t>
  </si>
  <si>
    <r>
      <rPr>
        <b/>
        <sz val="12"/>
        <color theme="1"/>
        <rFont val="Calibri"/>
        <family val="2"/>
        <scheme val="minor"/>
      </rPr>
      <t>Vigtigt:</t>
    </r>
    <r>
      <rPr>
        <sz val="12"/>
        <color theme="1"/>
        <rFont val="Calibri"/>
        <family val="2"/>
        <scheme val="minor"/>
      </rPr>
      <t xml:space="preserve"> Ift. stikledning er det afgørende, at der på kundens faktura står, hvor stor en del af beløbet/stikledningsbidraget, der dækker lønudgifter.</t>
    </r>
  </si>
  <si>
    <t>På Dansk Fjernvarmes hjemmeside kan findes et notat med mere info om emnet. Søg på "Håndværkerfradrag".</t>
  </si>
  <si>
    <t xml:space="preserve">Elpris og elvarmeafgift ift. varmepumpe </t>
  </si>
  <si>
    <t>Elvarmeafgift år 2021 og frem:</t>
  </si>
  <si>
    <t xml:space="preserve">øre/kWh </t>
  </si>
  <si>
    <t xml:space="preserve">Elpriser på elpris.dk er opgivet med fuld afgift på 90 øre/kWh (2021 sats). </t>
  </si>
  <si>
    <t>Denne skal derfor reduceres fra 90 øre/kWh til 0,8 øre/kWh, ved forbrug over 4000 kWh.</t>
  </si>
  <si>
    <r>
      <rPr>
        <b/>
        <i/>
        <sz val="12"/>
        <color theme="1"/>
        <rFont val="Calibri"/>
        <family val="2"/>
        <scheme val="minor"/>
      </rPr>
      <t>Kilde:</t>
    </r>
    <r>
      <rPr>
        <i/>
        <sz val="12"/>
        <color theme="1"/>
        <rFont val="Calibri"/>
        <family val="2"/>
        <scheme val="minor"/>
      </rPr>
      <t xml:space="preserve"> https://skat.dk/skat.aspx?oid=2920,     https://www.pwc.dk/da/artikler/2020/09/gron-omstilling-tager-form.html</t>
    </r>
  </si>
  <si>
    <t>PSO afgift</t>
  </si>
  <si>
    <t>PSO flyttes gradvist til finansloven fra 2017 og PSO-afgiften er fuldt afviklet til 1. januar 2022</t>
  </si>
  <si>
    <t>PSO-afgiften bestemmes hvert kvartal ift. priserne på elmarkedet, og en fremskrivning vil altid være en antagelse. Det sidste år har PSO-tariffen været omkring 10 øre/kWh.</t>
  </si>
  <si>
    <r>
      <rPr>
        <b/>
        <i/>
        <sz val="12"/>
        <color theme="1"/>
        <rFont val="Calibri"/>
        <family val="2"/>
        <scheme val="minor"/>
      </rPr>
      <t>Kilde:</t>
    </r>
    <r>
      <rPr>
        <i/>
        <sz val="12"/>
        <color theme="1"/>
        <rFont val="Calibri"/>
        <family val="2"/>
        <scheme val="minor"/>
      </rPr>
      <t xml:space="preserve"> https://efkm.dk/media/7912/elementer-i-aftale-om-pso.pdf</t>
    </r>
  </si>
  <si>
    <t>https://ens.dk/service/statistik-data-noegletal-og-kort/aktuel-pso-tarif</t>
  </si>
  <si>
    <t>Varmepumpe virkningsgrader (SCOP)</t>
  </si>
  <si>
    <t>Lovpligtigt serviceeftersyn på varmepumper</t>
  </si>
  <si>
    <t xml:space="preserve">SCOP står for "seasonal coefficient of performance" og er varmepumpens effektivitet set over et helt år. </t>
  </si>
  <si>
    <t>Virkningsgrader (SCOP) på gode varmepumper er oplyst på varmepumpelisten på sparenergi.dk</t>
  </si>
  <si>
    <t>Pris på lovpligtigt eftersyn hvert år ca.</t>
  </si>
  <si>
    <t>https://www.gastech.dk/service/serviceaftale-varmepumper/</t>
  </si>
  <si>
    <t xml:space="preserve">Dette er dog teoretiske værdier ved bestemte temperaturer og under optimale driftsforhold.  </t>
  </si>
  <si>
    <t>2250 kr./år uden reservedele</t>
  </si>
  <si>
    <t>https://ok-energiteknik.dk/privat/service/varmepumpeservice</t>
  </si>
  <si>
    <r>
      <t xml:space="preserve">I rapporten </t>
    </r>
    <r>
      <rPr>
        <b/>
        <i/>
        <sz val="12"/>
        <color theme="1"/>
        <rFont val="Calibri"/>
        <family val="2"/>
        <scheme val="minor"/>
      </rPr>
      <t xml:space="preserve">Evaluering af abonnementsordningen for varmepumper til boligejere; Marts 2019; Energistyrelsen  </t>
    </r>
  </si>
  <si>
    <t>https://www.greenmatch.dk/blog/2014/09/hvorfor-er-service-til-din-varmepumpe-vigtig</t>
  </si>
  <si>
    <t>vurderes den faktiske virkningsgrad for veldrevne luft-vand varmepumper i Danmark at være SCOP 3,0.</t>
  </si>
  <si>
    <t>Energistyrelsens teknologikatalog angiver følgende værider for gode varmepumper</t>
  </si>
  <si>
    <t>Kilde: https://ens.dk/en/our-services/projections-and-models/technology-data/technology-data-individual-heating-plants</t>
  </si>
  <si>
    <t>Radiator SCOP</t>
  </si>
  <si>
    <t>Gulvvarme SCOP</t>
  </si>
  <si>
    <t>Luft-vand. Ældre bygning</t>
  </si>
  <si>
    <t>Luft-vand. Ny bygning</t>
  </si>
  <si>
    <t>(SCOP er lavere for nye bygninger, da varmt</t>
  </si>
  <si>
    <t>brugsvand udgør en betydeligt større del)</t>
  </si>
  <si>
    <t>Jord-vand.  Ældre bygning</t>
  </si>
  <si>
    <t>Jord-vand.  Ny bygning</t>
  </si>
  <si>
    <t xml:space="preserve">(SCOP er lavere for nye bygninger, da varmt </t>
  </si>
  <si>
    <t>Varmepumpe dimensionering</t>
  </si>
  <si>
    <t>Normalt dimensioneres selve varmepumpen til -7 °C, hvis den har en elpatron, som kan dække fra -7 °C ned til dimensioneringskravet på -12 °C.</t>
  </si>
  <si>
    <t>Metode til overslag fra Videncenter for Energibesparelser i Bygninger:</t>
  </si>
  <si>
    <t>Dimensionerende varmetab ved -7 grader = Husets nuværende varmeforbrug (uden brugsvand) / 2200</t>
  </si>
  <si>
    <r>
      <t xml:space="preserve">Eksempel: 16.000 kWh/2200 = </t>
    </r>
    <r>
      <rPr>
        <b/>
        <sz val="11"/>
        <color theme="1"/>
        <rFont val="Calibri"/>
        <family val="2"/>
        <scheme val="minor"/>
      </rPr>
      <t>7,3 kW</t>
    </r>
    <r>
      <rPr>
        <sz val="11"/>
        <color theme="1"/>
        <rFont val="Calibri"/>
        <family val="2"/>
        <scheme val="minor"/>
      </rPr>
      <t>.</t>
    </r>
  </si>
  <si>
    <t>https://byggeriogenergi.dk/media/2380/varmeafgiversystem-til-varmepumper_2019.pdf</t>
  </si>
  <si>
    <t>Vejledende tabel fra Energihåndbogen 2019</t>
  </si>
  <si>
    <t>https://evu.dk/wp-content/uploads/2019/06/Varmepumper.pdf</t>
  </si>
  <si>
    <t>I tabellen dimensioneres varmepumpen til 82 % af husets varmetab, hvilket svarer til en dimensionerende udetemperatur på -7 °C som nævnt ovenfor.</t>
  </si>
  <si>
    <t xml:space="preserve">Når den nødvendige varmepumpeeffekt er fundet ift. husets varmetab, er det vigtigt at bemærke, at varmepumpers effekt er angivet for forskellige klimaforhold og fremløbstemperaturer. Til højre herfor ses energimærket for en 13 kW udedel (energioptager) til en luft-vand varmepumpe. Som det ses, kan man kun forvente 9 kW i DK ved fremløbstemperatur på 55 C° og 10 kW ved fremløbstemperatur på 35 C° på den konkrete energioptager. </t>
  </si>
  <si>
    <t>Energimærke for:</t>
  </si>
  <si>
    <t>Bosch Compress 7000I AW-13 luft/vand udedel 13 kW</t>
  </si>
  <si>
    <t>Varmepumpe priser</t>
  </si>
  <si>
    <t xml:space="preserve">Prisen på en varmepumpe afhænger meget af typen og kvaliteten.  Ved en billigere VP må en dårligere effektivitet og lavere levetid forventes. </t>
  </si>
  <si>
    <t xml:space="preserve">Det bedste er derfor at tage udgangspunkt i et konkret tilbud for ejendommen hvis muligt.  </t>
  </si>
  <si>
    <t>Et eksempel på en varmepumpe af god kvalitet til et hus på 160 kvadratmeter med gulvvarme og et dimensionerende varmetab på 7,2 kW:</t>
  </si>
  <si>
    <t>https://danskvvsogklima.dk/alternativ-energi/luft-til-vand-varmepumpe/bosch-compress-7000i-aw/</t>
  </si>
  <si>
    <t>Fakturapris: 130.257,- inkl. moms og installation med 5 års garanti - dog uden el-arbejde.</t>
  </si>
  <si>
    <t xml:space="preserve">Vejledende priser fra Energistyrelsen </t>
  </si>
  <si>
    <t>Energistyrelsen har Excel-dokumentet "Datablade for individuelle varmeanlæg" med oplysninger og priser om forskellige opvarmningsformer, som kan findes her:</t>
  </si>
  <si>
    <t>https://ens.dk/service/fremskrivninger-analyser-modeller/teknologikataloger/teknologikatalog-individuelle</t>
  </si>
  <si>
    <r>
      <t xml:space="preserve">Bemærk: Priserne i dokumentet er i Euro og </t>
    </r>
    <r>
      <rPr>
        <u/>
        <sz val="12"/>
        <rFont val="Calibri"/>
        <family val="2"/>
        <scheme val="minor"/>
      </rPr>
      <t>uden moms</t>
    </r>
    <r>
      <rPr>
        <sz val="12"/>
        <rFont val="Calibri"/>
        <family val="2"/>
        <scheme val="minor"/>
      </rPr>
      <t>.</t>
    </r>
  </si>
  <si>
    <t>På fanen "207 HP air-water,ex single" i databladet er følgende oplysninger angivet for en luft-vand varmepumpe i et eksisterende fritliggende hus:</t>
  </si>
  <si>
    <t>Effekt på VP (uden elpatron): 7 kW ved udetemperatur på -7 og fremløb på 55. Dette svarer ofte til en varmepumpe, der er angivet til 11-12 kW i navnet (se afsnit ovenfor).</t>
  </si>
  <si>
    <t>SCOP: 3,15</t>
  </si>
  <si>
    <t>Levetid: 16 år</t>
  </si>
  <si>
    <t xml:space="preserve">Investeringsomkostning inkl. installation: 102.000 kr. inkl. moms. </t>
  </si>
  <si>
    <t xml:space="preserve">Service og vedligehold: 2.900 kr./år inkl. moms. </t>
  </si>
  <si>
    <t>Herunder findes nogle værdier, som anvendes i prisberegnerens formler</t>
  </si>
  <si>
    <t>Anvendte graddage</t>
  </si>
  <si>
    <t>Graddage</t>
  </si>
  <si>
    <t>-</t>
  </si>
  <si>
    <t>Normalår</t>
  </si>
  <si>
    <t>Baseret på årene 2011-2021</t>
  </si>
  <si>
    <t>Kilde: DMI Frie Data. Hentet med API i Dansk Fjernvarmes værktøj 'DMI graddage 2022'.</t>
  </si>
  <si>
    <t>Brændværdier</t>
  </si>
  <si>
    <t>Brændværdi naturgas</t>
  </si>
  <si>
    <t>kWh/Nm3</t>
  </si>
  <si>
    <t>Brændværdi træpiller</t>
  </si>
  <si>
    <t>kWh/kg</t>
  </si>
  <si>
    <t>Kilde: Brændværdier er nedre brændværdier fra Energistyrelsens energistatistik ens.dk/sites/ens.dk/files/Statistik/pub2017dk.pdf</t>
  </si>
  <si>
    <t>Navne til rullelister i prisberegner</t>
  </si>
  <si>
    <t>KODE til at oplåse arket</t>
  </si>
  <si>
    <t>Her står de omkostninger, som vises på graferne i fanen 'Resultater'.</t>
  </si>
  <si>
    <t>Årlig omkostning i DKK</t>
  </si>
  <si>
    <t>Naturgas</t>
  </si>
  <si>
    <t xml:space="preserve">Fjernvarme </t>
  </si>
  <si>
    <t>Besparelse</t>
  </si>
  <si>
    <t>Sortering af pris og besparelse ift. afskrivningsperioder og tillæg</t>
  </si>
  <si>
    <t>Periode for tillæg</t>
  </si>
  <si>
    <t>Afskrivningsperiode på engangsbidragene</t>
  </si>
  <si>
    <t>Resterende levetid gaskedel</t>
  </si>
  <si>
    <t xml:space="preserve">Samlet omkostning ved fjernvarme </t>
  </si>
  <si>
    <t>Ved tilslutning (år 1)</t>
  </si>
  <si>
    <t>Besparelse ift. gas</t>
  </si>
  <si>
    <t>Sum</t>
  </si>
  <si>
    <t>Gns. pr. måned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</si>
</sst>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kr.&quot;;[Red]\-#,##0.00\ &quot;kr.&quot;"/>
    <numFmt numFmtId="164" formatCode="_ * #,##0.00_ ;_ * \-#,##0.00_ ;_ * &quot;-&quot;??_ ;_ @_ "/>
    <numFmt numFmtId="165" formatCode="#,##0.0"/>
  </numFmts>
  <fonts count="2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2"/>
      <color theme="1"/>
      <name val="Calibri"/>
      <family val="2"/>
      <scheme val="minor"/>
    </font>
    <font>
      <b/>
      <sz val="12"/>
      <color theme="1"/>
      <name val="Calibri"/>
      <family val="2"/>
      <scheme val="minor"/>
    </font>
    <font>
      <sz val="12"/>
      <color rgb="FFFF0000"/>
      <name val="Calibri"/>
      <family val="2"/>
      <scheme val="minor"/>
    </font>
    <font>
      <i/>
      <sz val="12"/>
      <name val="Calibri"/>
      <family val="2"/>
      <scheme val="minor"/>
    </font>
    <font>
      <i/>
      <sz val="12"/>
      <color theme="1"/>
      <name val="Calibri"/>
      <family val="2"/>
      <scheme val="minor"/>
    </font>
    <font>
      <b/>
      <sz val="16"/>
      <color theme="1"/>
      <name val="Calibri"/>
      <family val="2"/>
      <scheme val="minor"/>
    </font>
    <font>
      <b/>
      <sz val="14"/>
      <color theme="1"/>
      <name val="Calibri"/>
      <family val="2"/>
      <scheme val="minor"/>
    </font>
    <font>
      <u/>
      <sz val="11"/>
      <color theme="10"/>
      <name val="Calibri"/>
      <family val="2"/>
      <scheme val="minor"/>
    </font>
    <font>
      <b/>
      <sz val="12"/>
      <color theme="0"/>
      <name val="Calibri"/>
      <family val="2"/>
      <scheme val="minor"/>
    </font>
    <font>
      <sz val="12"/>
      <name val="Calibri"/>
      <family val="2"/>
      <scheme val="minor"/>
    </font>
    <font>
      <b/>
      <sz val="12"/>
      <name val="Calibri"/>
      <family val="2"/>
      <scheme val="minor"/>
    </font>
    <font>
      <b/>
      <i/>
      <sz val="12"/>
      <color theme="1"/>
      <name val="Calibri"/>
      <family val="2"/>
      <scheme val="minor"/>
    </font>
    <font>
      <i/>
      <u/>
      <sz val="12"/>
      <color theme="10"/>
      <name val="Calibri"/>
      <family val="2"/>
      <scheme val="minor"/>
    </font>
    <font>
      <sz val="14"/>
      <color theme="1"/>
      <name val="Calibri"/>
      <family val="2"/>
      <scheme val="minor"/>
    </font>
    <font>
      <u/>
      <sz val="12"/>
      <color theme="10"/>
      <name val="Calibri"/>
      <family val="2"/>
      <scheme val="minor"/>
    </font>
    <font>
      <b/>
      <sz val="13"/>
      <color theme="1"/>
      <name val="Calibri"/>
      <family val="2"/>
      <scheme val="minor"/>
    </font>
    <font>
      <i/>
      <sz val="11"/>
      <name val="Calibri"/>
      <family val="2"/>
      <scheme val="minor"/>
    </font>
    <font>
      <sz val="11"/>
      <name val="Calibri"/>
      <family val="2"/>
      <scheme val="minor"/>
    </font>
    <font>
      <u/>
      <sz val="12"/>
      <name val="Calibri"/>
      <family val="2"/>
      <scheme val="minor"/>
    </font>
    <font>
      <b/>
      <sz val="14"/>
      <color rgb="FFFF0000"/>
      <name val="Calibri"/>
      <family val="2"/>
      <scheme val="minor"/>
    </font>
  </fonts>
  <fills count="12">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s>
  <borders count="21">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11" fillId="0" borderId="0" applyNumberFormat="0" applyFill="0" applyBorder="0" applyAlignment="0" applyProtection="0"/>
  </cellStyleXfs>
  <cellXfs count="205">
    <xf numFmtId="0" fontId="0" fillId="0" borderId="0" xfId="0"/>
    <xf numFmtId="0" fontId="4" fillId="3" borderId="0" xfId="0" applyFont="1" applyFill="1" applyAlignment="1">
      <alignment vertical="center"/>
    </xf>
    <xf numFmtId="0" fontId="4" fillId="3" borderId="2" xfId="0" applyFont="1" applyFill="1" applyBorder="1" applyAlignment="1">
      <alignment vertical="center"/>
    </xf>
    <xf numFmtId="0" fontId="4" fillId="3" borderId="3" xfId="0" applyFont="1" applyFill="1" applyBorder="1" applyAlignment="1">
      <alignment vertical="center"/>
    </xf>
    <xf numFmtId="0" fontId="5" fillId="3" borderId="4" xfId="0" applyFont="1" applyFill="1" applyBorder="1" applyAlignment="1">
      <alignment vertical="center"/>
    </xf>
    <xf numFmtId="0" fontId="4" fillId="0" borderId="0" xfId="0" applyFont="1" applyAlignment="1">
      <alignment vertical="center"/>
    </xf>
    <xf numFmtId="0" fontId="4" fillId="3" borderId="11" xfId="0" applyFont="1" applyFill="1" applyBorder="1" applyAlignment="1">
      <alignment vertical="center"/>
    </xf>
    <xf numFmtId="49" fontId="4" fillId="3" borderId="6" xfId="0" applyNumberFormat="1" applyFont="1" applyFill="1" applyBorder="1" applyAlignment="1">
      <alignment vertical="center"/>
    </xf>
    <xf numFmtId="0" fontId="5" fillId="3" borderId="0" xfId="0" applyFont="1" applyFill="1" applyAlignment="1">
      <alignment vertical="center"/>
    </xf>
    <xf numFmtId="0" fontId="4" fillId="3" borderId="6" xfId="0" applyFont="1" applyFill="1" applyBorder="1" applyAlignment="1">
      <alignment vertical="center"/>
    </xf>
    <xf numFmtId="0" fontId="5" fillId="3" borderId="0" xfId="0" applyFont="1" applyFill="1" applyAlignment="1">
      <alignment horizontal="left" vertical="center"/>
    </xf>
    <xf numFmtId="0" fontId="6" fillId="3" borderId="0" xfId="0" applyFont="1" applyFill="1" applyAlignment="1">
      <alignment vertical="center"/>
    </xf>
    <xf numFmtId="0" fontId="4" fillId="3" borderId="5" xfId="0" applyFont="1" applyFill="1" applyBorder="1" applyAlignment="1">
      <alignment vertical="center"/>
    </xf>
    <xf numFmtId="0" fontId="4" fillId="3" borderId="0" xfId="0" applyFont="1" applyFill="1" applyAlignment="1" applyProtection="1">
      <alignment vertical="center"/>
      <protection locked="0"/>
    </xf>
    <xf numFmtId="0" fontId="4" fillId="3" borderId="10" xfId="0" applyFont="1" applyFill="1" applyBorder="1" applyAlignment="1">
      <alignment vertical="center"/>
    </xf>
    <xf numFmtId="0" fontId="4" fillId="3" borderId="1" xfId="0" applyFont="1" applyFill="1" applyBorder="1" applyAlignment="1">
      <alignment vertical="center"/>
    </xf>
    <xf numFmtId="0" fontId="6" fillId="3" borderId="1" xfId="0" applyFont="1" applyFill="1" applyBorder="1" applyAlignment="1">
      <alignment vertical="center"/>
    </xf>
    <xf numFmtId="3" fontId="4" fillId="2" borderId="0" xfId="0" applyNumberFormat="1" applyFont="1" applyFill="1" applyAlignment="1" applyProtection="1">
      <alignment vertical="center"/>
      <protection locked="0"/>
    </xf>
    <xf numFmtId="0" fontId="4" fillId="2" borderId="0" xfId="0" applyFont="1" applyFill="1" applyAlignment="1">
      <alignment vertical="center"/>
    </xf>
    <xf numFmtId="3" fontId="4" fillId="3" borderId="0" xfId="0" applyNumberFormat="1" applyFont="1" applyFill="1" applyAlignment="1">
      <alignment vertical="center"/>
    </xf>
    <xf numFmtId="0" fontId="7" fillId="3" borderId="0" xfId="0" applyFont="1" applyFill="1" applyAlignment="1">
      <alignment vertical="center"/>
    </xf>
    <xf numFmtId="0" fontId="4" fillId="3" borderId="0" xfId="0" applyFont="1" applyFill="1" applyAlignment="1">
      <alignment horizontal="left" vertical="center"/>
    </xf>
    <xf numFmtId="3" fontId="4" fillId="3" borderId="1" xfId="0" applyNumberFormat="1" applyFont="1" applyFill="1" applyBorder="1" applyAlignment="1">
      <alignment vertical="center"/>
    </xf>
    <xf numFmtId="3" fontId="4" fillId="2" borderId="0" xfId="0" applyNumberFormat="1" applyFont="1" applyFill="1" applyAlignment="1">
      <alignment vertical="center"/>
    </xf>
    <xf numFmtId="0" fontId="8" fillId="3" borderId="0" xfId="0" applyFont="1" applyFill="1" applyAlignment="1">
      <alignment vertical="center"/>
    </xf>
    <xf numFmtId="3" fontId="4" fillId="3" borderId="0" xfId="0" applyNumberFormat="1" applyFont="1" applyFill="1" applyAlignment="1">
      <alignment horizontal="right" vertical="center"/>
    </xf>
    <xf numFmtId="0" fontId="5" fillId="3" borderId="6" xfId="0" applyFont="1" applyFill="1" applyBorder="1" applyAlignment="1">
      <alignment vertical="center" wrapText="1"/>
    </xf>
    <xf numFmtId="0" fontId="5" fillId="3" borderId="0" xfId="0" applyFont="1" applyFill="1" applyAlignment="1">
      <alignment vertical="center" wrapText="1"/>
    </xf>
    <xf numFmtId="0" fontId="4" fillId="3" borderId="6" xfId="0" applyFont="1" applyFill="1" applyBorder="1" applyAlignment="1">
      <alignment vertical="center" wrapText="1"/>
    </xf>
    <xf numFmtId="9" fontId="4" fillId="3" borderId="0" xfId="0" applyNumberFormat="1" applyFont="1" applyFill="1" applyAlignment="1">
      <alignment horizontal="center" vertical="center" wrapText="1"/>
    </xf>
    <xf numFmtId="0" fontId="4" fillId="3" borderId="6" xfId="0" applyFont="1" applyFill="1" applyBorder="1" applyAlignment="1">
      <alignment horizontal="right" vertical="center"/>
    </xf>
    <xf numFmtId="0" fontId="4" fillId="3" borderId="0" xfId="0" applyFont="1" applyFill="1"/>
    <xf numFmtId="0" fontId="4" fillId="4" borderId="0" xfId="0" applyFont="1" applyFill="1" applyAlignment="1">
      <alignment vertical="center"/>
    </xf>
    <xf numFmtId="3" fontId="4" fillId="4" borderId="0" xfId="0" applyNumberFormat="1" applyFont="1" applyFill="1" applyAlignment="1">
      <alignment vertical="center"/>
    </xf>
    <xf numFmtId="0" fontId="4" fillId="3" borderId="7" xfId="0" applyFont="1" applyFill="1" applyBorder="1" applyAlignment="1">
      <alignment vertical="center"/>
    </xf>
    <xf numFmtId="0" fontId="4" fillId="3" borderId="8" xfId="0" applyFont="1" applyFill="1" applyBorder="1" applyAlignment="1">
      <alignment vertical="center"/>
    </xf>
    <xf numFmtId="3" fontId="4" fillId="3" borderId="8" xfId="0" applyNumberFormat="1" applyFont="1" applyFill="1" applyBorder="1" applyAlignment="1">
      <alignment vertical="center"/>
    </xf>
    <xf numFmtId="0" fontId="4" fillId="3" borderId="9" xfId="0" applyFont="1" applyFill="1" applyBorder="1" applyAlignment="1">
      <alignment vertical="center"/>
    </xf>
    <xf numFmtId="165" fontId="4" fillId="2" borderId="0" xfId="0" applyNumberFormat="1" applyFont="1" applyFill="1" applyAlignment="1">
      <alignment vertical="center"/>
    </xf>
    <xf numFmtId="4" fontId="4" fillId="2" borderId="0" xfId="0" applyNumberFormat="1" applyFont="1" applyFill="1" applyAlignment="1">
      <alignment vertical="center"/>
    </xf>
    <xf numFmtId="4" fontId="4" fillId="2" borderId="0" xfId="0" applyNumberFormat="1" applyFont="1" applyFill="1" applyAlignment="1">
      <alignment horizontal="right" vertical="center"/>
    </xf>
    <xf numFmtId="0" fontId="6" fillId="3" borderId="8" xfId="0" applyFont="1" applyFill="1" applyBorder="1" applyAlignment="1">
      <alignment vertical="center"/>
    </xf>
    <xf numFmtId="49" fontId="4" fillId="3" borderId="11" xfId="0" applyNumberFormat="1" applyFont="1" applyFill="1" applyBorder="1" applyAlignment="1">
      <alignment vertical="center"/>
    </xf>
    <xf numFmtId="0" fontId="10" fillId="3" borderId="0" xfId="0" applyFont="1" applyFill="1" applyAlignment="1">
      <alignment vertical="center"/>
    </xf>
    <xf numFmtId="0" fontId="4" fillId="3" borderId="4" xfId="0" applyFont="1" applyFill="1" applyBorder="1" applyAlignment="1">
      <alignment vertical="center"/>
    </xf>
    <xf numFmtId="49" fontId="4" fillId="3" borderId="0" xfId="0" applyNumberFormat="1" applyFont="1" applyFill="1" applyAlignment="1">
      <alignment vertical="center"/>
    </xf>
    <xf numFmtId="0" fontId="4" fillId="3" borderId="0" xfId="0" applyFont="1" applyFill="1" applyAlignment="1" applyProtection="1">
      <alignment horizontal="left" vertical="center"/>
      <protection locked="0"/>
    </xf>
    <xf numFmtId="0" fontId="5" fillId="3" borderId="3" xfId="0" applyFont="1" applyFill="1" applyBorder="1" applyAlignment="1">
      <alignment vertical="center"/>
    </xf>
    <xf numFmtId="0" fontId="12" fillId="3" borderId="0" xfId="0" applyFont="1" applyFill="1" applyAlignment="1">
      <alignment horizontal="center" vertical="center" wrapText="1"/>
    </xf>
    <xf numFmtId="3" fontId="12" fillId="3" borderId="0" xfId="0" applyNumberFormat="1" applyFont="1" applyFill="1" applyAlignment="1">
      <alignment horizontal="center" vertical="center" wrapText="1"/>
    </xf>
    <xf numFmtId="0" fontId="5" fillId="3" borderId="0" xfId="0" applyFont="1" applyFill="1"/>
    <xf numFmtId="0" fontId="5" fillId="3" borderId="0" xfId="0" applyFont="1" applyFill="1" applyAlignment="1">
      <alignment horizontal="center" vertical="center" wrapText="1"/>
    </xf>
    <xf numFmtId="9" fontId="4" fillId="3" borderId="0" xfId="0" applyNumberFormat="1" applyFont="1" applyFill="1" applyAlignment="1">
      <alignment horizontal="center" vertical="center"/>
    </xf>
    <xf numFmtId="8" fontId="4" fillId="3" borderId="0" xfId="0" applyNumberFormat="1" applyFont="1" applyFill="1" applyAlignment="1">
      <alignment vertical="center"/>
    </xf>
    <xf numFmtId="9" fontId="4" fillId="2" borderId="0" xfId="0" applyNumberFormat="1" applyFont="1" applyFill="1" applyAlignment="1">
      <alignment horizontal="center" vertical="center"/>
    </xf>
    <xf numFmtId="0" fontId="8" fillId="3" borderId="1" xfId="0" applyFont="1" applyFill="1" applyBorder="1" applyAlignment="1">
      <alignment vertical="center"/>
    </xf>
    <xf numFmtId="0" fontId="13"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center" vertical="center" wrapText="1"/>
    </xf>
    <xf numFmtId="3" fontId="14" fillId="3" borderId="0" xfId="0" applyNumberFormat="1" applyFont="1" applyFill="1" applyAlignment="1">
      <alignment horizontal="center" vertical="center" wrapText="1"/>
    </xf>
    <xf numFmtId="0" fontId="0" fillId="3" borderId="0" xfId="0" applyFill="1"/>
    <xf numFmtId="0" fontId="2" fillId="3" borderId="0" xfId="0" applyFont="1" applyFill="1" applyAlignment="1">
      <alignment horizontal="center"/>
    </xf>
    <xf numFmtId="1" fontId="4" fillId="3" borderId="0" xfId="0" applyNumberFormat="1" applyFont="1" applyFill="1" applyAlignment="1">
      <alignment vertical="center"/>
    </xf>
    <xf numFmtId="0" fontId="5" fillId="3" borderId="1" xfId="0" applyFont="1" applyFill="1" applyBorder="1" applyAlignment="1">
      <alignment vertical="center"/>
    </xf>
    <xf numFmtId="49" fontId="4" fillId="3" borderId="9" xfId="0" applyNumberFormat="1" applyFont="1" applyFill="1" applyBorder="1" applyAlignment="1">
      <alignment vertical="center"/>
    </xf>
    <xf numFmtId="49" fontId="4" fillId="3" borderId="4" xfId="0" applyNumberFormat="1" applyFont="1" applyFill="1" applyBorder="1" applyAlignment="1">
      <alignment vertical="center"/>
    </xf>
    <xf numFmtId="0" fontId="0" fillId="3" borderId="0" xfId="0" applyFill="1" applyAlignment="1">
      <alignment horizontal="center"/>
    </xf>
    <xf numFmtId="3" fontId="0" fillId="5" borderId="0" xfId="0" applyNumberFormat="1" applyFill="1" applyAlignment="1">
      <alignment horizontal="center"/>
    </xf>
    <xf numFmtId="0" fontId="7" fillId="3" borderId="0" xfId="0" applyFont="1" applyFill="1" applyAlignment="1">
      <alignment vertical="center" wrapText="1"/>
    </xf>
    <xf numFmtId="0" fontId="8" fillId="2" borderId="0" xfId="0" applyFont="1" applyFill="1" applyAlignment="1">
      <alignment vertical="center"/>
    </xf>
    <xf numFmtId="0" fontId="5" fillId="2" borderId="0" xfId="0" applyFont="1" applyFill="1" applyAlignment="1">
      <alignment vertical="center"/>
    </xf>
    <xf numFmtId="0" fontId="0" fillId="5" borderId="0" xfId="0" applyFill="1" applyAlignment="1">
      <alignment horizontal="center"/>
    </xf>
    <xf numFmtId="0" fontId="3" fillId="3" borderId="0" xfId="0" applyFont="1" applyFill="1" applyAlignment="1">
      <alignment vertical="top" wrapText="1"/>
    </xf>
    <xf numFmtId="3" fontId="0" fillId="5" borderId="0" xfId="0" applyNumberFormat="1" applyFill="1" applyAlignment="1">
      <alignment horizontal="center" vertical="center"/>
    </xf>
    <xf numFmtId="8" fontId="8" fillId="3" borderId="0" xfId="0" applyNumberFormat="1" applyFont="1" applyFill="1" applyAlignment="1">
      <alignment vertical="center"/>
    </xf>
    <xf numFmtId="0" fontId="8" fillId="3" borderId="0" xfId="0" applyFont="1" applyFill="1"/>
    <xf numFmtId="0" fontId="2" fillId="3" borderId="0" xfId="0" applyFont="1" applyFill="1" applyAlignment="1">
      <alignment horizontal="center" vertical="center"/>
    </xf>
    <xf numFmtId="0" fontId="5" fillId="3" borderId="0" xfId="0" applyFont="1" applyFill="1" applyAlignment="1">
      <alignment horizontal="center" vertical="center"/>
    </xf>
    <xf numFmtId="4" fontId="4" fillId="3" borderId="0" xfId="0" applyNumberFormat="1" applyFont="1" applyFill="1" applyAlignment="1">
      <alignment horizontal="right" vertical="center"/>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4" fillId="7" borderId="0" xfId="0" applyFont="1" applyFill="1" applyAlignment="1">
      <alignment vertical="center"/>
    </xf>
    <xf numFmtId="1" fontId="4" fillId="7" borderId="0" xfId="0" applyNumberFormat="1" applyFont="1" applyFill="1" applyAlignment="1">
      <alignment vertical="center"/>
    </xf>
    <xf numFmtId="3" fontId="4" fillId="7" borderId="0" xfId="0" applyNumberFormat="1" applyFont="1" applyFill="1" applyAlignment="1">
      <alignment horizontal="right" vertical="center"/>
    </xf>
    <xf numFmtId="0" fontId="5" fillId="7" borderId="0" xfId="0" applyFont="1" applyFill="1" applyAlignment="1">
      <alignment vertical="center"/>
    </xf>
    <xf numFmtId="0" fontId="8" fillId="7" borderId="0" xfId="0" applyFont="1" applyFill="1" applyAlignment="1">
      <alignment vertical="center"/>
    </xf>
    <xf numFmtId="3" fontId="4" fillId="7" borderId="0" xfId="0" applyNumberFormat="1" applyFont="1" applyFill="1" applyAlignment="1">
      <alignment vertical="center"/>
    </xf>
    <xf numFmtId="0" fontId="13" fillId="3" borderId="8" xfId="0" applyFont="1" applyFill="1" applyBorder="1" applyAlignment="1">
      <alignment vertical="center"/>
    </xf>
    <xf numFmtId="1" fontId="4" fillId="3" borderId="8" xfId="0" applyNumberFormat="1" applyFont="1" applyFill="1" applyBorder="1" applyAlignment="1">
      <alignment vertical="center"/>
    </xf>
    <xf numFmtId="0" fontId="4" fillId="2" borderId="0" xfId="0" applyFont="1" applyFill="1"/>
    <xf numFmtId="0" fontId="8" fillId="3" borderId="0" xfId="0" applyFont="1" applyFill="1" applyAlignment="1">
      <alignment horizontal="left"/>
    </xf>
    <xf numFmtId="0" fontId="4" fillId="3" borderId="0" xfId="0" applyFont="1" applyFill="1" applyAlignment="1">
      <alignment horizontal="center"/>
    </xf>
    <xf numFmtId="0" fontId="16" fillId="0" borderId="0" xfId="2" applyFont="1"/>
    <xf numFmtId="0" fontId="4" fillId="3" borderId="0" xfId="0" applyFont="1" applyFill="1" applyAlignment="1">
      <alignment horizontal="right"/>
    </xf>
    <xf numFmtId="0" fontId="4" fillId="3" borderId="0" xfId="0" applyFont="1" applyFill="1" applyAlignment="1">
      <alignment horizontal="left"/>
    </xf>
    <xf numFmtId="0" fontId="5" fillId="3" borderId="0" xfId="0" applyFont="1" applyFill="1" applyAlignment="1">
      <alignment horizontal="center"/>
    </xf>
    <xf numFmtId="2" fontId="4" fillId="3" borderId="0" xfId="0" applyNumberFormat="1" applyFont="1" applyFill="1" applyAlignment="1">
      <alignment horizontal="center"/>
    </xf>
    <xf numFmtId="0" fontId="17" fillId="2" borderId="0" xfId="0" applyFont="1" applyFill="1"/>
    <xf numFmtId="165" fontId="6" fillId="3" borderId="0" xfId="0" applyNumberFormat="1" applyFont="1" applyFill="1" applyAlignment="1">
      <alignment vertical="center"/>
    </xf>
    <xf numFmtId="3" fontId="4" fillId="3" borderId="0" xfId="0" applyNumberFormat="1" applyFont="1" applyFill="1" applyAlignment="1" applyProtection="1">
      <alignment vertical="center"/>
      <protection locked="0"/>
    </xf>
    <xf numFmtId="165" fontId="4" fillId="3" borderId="0" xfId="0" applyNumberFormat="1" applyFont="1" applyFill="1" applyAlignment="1">
      <alignment vertical="center"/>
    </xf>
    <xf numFmtId="165" fontId="4" fillId="3" borderId="0" xfId="0" applyNumberFormat="1" applyFont="1" applyFill="1" applyAlignment="1">
      <alignment horizontal="right" vertical="center"/>
    </xf>
    <xf numFmtId="0" fontId="11" fillId="3" borderId="0" xfId="2" applyFill="1"/>
    <xf numFmtId="0" fontId="8" fillId="3" borderId="0" xfId="0" applyFont="1" applyFill="1" applyAlignment="1">
      <alignment vertical="center" wrapText="1"/>
    </xf>
    <xf numFmtId="0" fontId="8" fillId="3" borderId="6" xfId="0" applyFont="1" applyFill="1" applyBorder="1" applyAlignment="1">
      <alignment vertical="center" wrapText="1"/>
    </xf>
    <xf numFmtId="0" fontId="18" fillId="3" borderId="0" xfId="2" applyFont="1" applyFill="1"/>
    <xf numFmtId="0" fontId="5" fillId="3" borderId="8" xfId="0" applyFont="1" applyFill="1" applyBorder="1" applyAlignment="1">
      <alignment vertical="center" wrapText="1"/>
    </xf>
    <xf numFmtId="0" fontId="4" fillId="8" borderId="0" xfId="0" applyFont="1" applyFill="1"/>
    <xf numFmtId="0" fontId="5" fillId="8" borderId="0" xfId="0" applyFont="1" applyFill="1"/>
    <xf numFmtId="0" fontId="4" fillId="9" borderId="0" xfId="0" applyFont="1" applyFill="1"/>
    <xf numFmtId="0" fontId="13" fillId="3" borderId="0" xfId="2" quotePrefix="1" applyFont="1" applyFill="1"/>
    <xf numFmtId="3" fontId="5" fillId="3" borderId="0" xfId="0" applyNumberFormat="1" applyFont="1" applyFill="1"/>
    <xf numFmtId="0" fontId="8" fillId="3" borderId="0" xfId="0" quotePrefix="1" applyFont="1" applyFill="1" applyAlignment="1">
      <alignment vertical="center"/>
    </xf>
    <xf numFmtId="3" fontId="8" fillId="2" borderId="0" xfId="0" applyNumberFormat="1" applyFont="1" applyFill="1" applyAlignment="1">
      <alignment vertical="center"/>
    </xf>
    <xf numFmtId="0" fontId="4" fillId="7" borderId="0" xfId="0" applyFont="1" applyFill="1" applyAlignment="1">
      <alignment horizontal="center" vertical="center"/>
    </xf>
    <xf numFmtId="0" fontId="4" fillId="3" borderId="12" xfId="0" applyFont="1" applyFill="1" applyBorder="1" applyAlignment="1">
      <alignment vertical="center"/>
    </xf>
    <xf numFmtId="0" fontId="4" fillId="3" borderId="13" xfId="0" applyFont="1" applyFill="1" applyBorder="1" applyAlignment="1">
      <alignment vertical="center"/>
    </xf>
    <xf numFmtId="3" fontId="4" fillId="3" borderId="13" xfId="0" applyNumberFormat="1" applyFont="1" applyFill="1" applyBorder="1" applyAlignment="1">
      <alignment vertical="center"/>
    </xf>
    <xf numFmtId="0" fontId="4" fillId="3" borderId="14" xfId="0" applyFont="1" applyFill="1" applyBorder="1" applyAlignment="1">
      <alignment vertical="center"/>
    </xf>
    <xf numFmtId="0" fontId="3" fillId="3" borderId="0" xfId="0" applyFont="1" applyFill="1" applyAlignment="1">
      <alignment vertical="center"/>
    </xf>
    <xf numFmtId="0" fontId="5" fillId="4" borderId="0" xfId="0" applyFont="1" applyFill="1" applyAlignment="1">
      <alignment vertical="center"/>
    </xf>
    <xf numFmtId="0" fontId="4" fillId="3" borderId="0" xfId="0" applyFont="1" applyFill="1" applyAlignment="1">
      <alignment horizontal="center" vertical="center"/>
    </xf>
    <xf numFmtId="0" fontId="4" fillId="8" borderId="0" xfId="0" applyFont="1" applyFill="1" applyAlignment="1">
      <alignment vertical="center"/>
    </xf>
    <xf numFmtId="0" fontId="4" fillId="8" borderId="0" xfId="0" quotePrefix="1" applyFont="1" applyFill="1" applyAlignment="1">
      <alignment vertical="center"/>
    </xf>
    <xf numFmtId="0" fontId="4" fillId="8" borderId="0" xfId="0" applyFont="1" applyFill="1" applyAlignment="1">
      <alignment horizontal="center" vertical="center"/>
    </xf>
    <xf numFmtId="0" fontId="8" fillId="8" borderId="0" xfId="0" applyFont="1" applyFill="1" applyAlignment="1">
      <alignment vertical="center" wrapText="1"/>
    </xf>
    <xf numFmtId="0" fontId="4" fillId="8" borderId="0" xfId="0" applyFont="1" applyFill="1" applyAlignment="1">
      <alignment vertical="center" wrapText="1"/>
    </xf>
    <xf numFmtId="0" fontId="5" fillId="10" borderId="0" xfId="0" applyFont="1" applyFill="1"/>
    <xf numFmtId="3" fontId="4" fillId="4" borderId="0" xfId="0" applyNumberFormat="1" applyFont="1" applyFill="1" applyAlignment="1">
      <alignment horizontal="right" vertical="center"/>
    </xf>
    <xf numFmtId="0" fontId="8" fillId="0" borderId="0" xfId="0" applyFont="1" applyAlignment="1">
      <alignment vertical="center"/>
    </xf>
    <xf numFmtId="0" fontId="8" fillId="3" borderId="13" xfId="0" applyFont="1" applyFill="1" applyBorder="1" applyAlignment="1">
      <alignment vertical="center"/>
    </xf>
    <xf numFmtId="165" fontId="6" fillId="3" borderId="13" xfId="0" applyNumberFormat="1" applyFont="1" applyFill="1" applyBorder="1" applyAlignment="1">
      <alignment vertical="center"/>
    </xf>
    <xf numFmtId="0" fontId="19" fillId="3" borderId="0" xfId="0" applyFont="1" applyFill="1" applyAlignment="1">
      <alignment vertical="center"/>
    </xf>
    <xf numFmtId="1" fontId="13" fillId="3" borderId="0" xfId="0" applyNumberFormat="1" applyFont="1" applyFill="1" applyAlignment="1">
      <alignment vertical="center"/>
    </xf>
    <xf numFmtId="0" fontId="8" fillId="3" borderId="0" xfId="0" applyFont="1" applyFill="1" applyAlignment="1">
      <alignment horizontal="left" vertical="center"/>
    </xf>
    <xf numFmtId="0" fontId="3" fillId="3" borderId="0" xfId="0" applyFont="1" applyFill="1" applyAlignment="1">
      <alignment horizontal="left" vertical="center"/>
    </xf>
    <xf numFmtId="3" fontId="3" fillId="3" borderId="0" xfId="0" applyNumberFormat="1" applyFont="1" applyFill="1" applyAlignment="1">
      <alignment vertical="center"/>
    </xf>
    <xf numFmtId="0" fontId="4" fillId="4" borderId="8" xfId="0" quotePrefix="1" applyFont="1" applyFill="1" applyBorder="1" applyAlignment="1">
      <alignment vertical="center"/>
    </xf>
    <xf numFmtId="0" fontId="8" fillId="4" borderId="8" xfId="0" applyFont="1" applyFill="1" applyBorder="1" applyAlignment="1">
      <alignment horizontal="left" vertical="top"/>
    </xf>
    <xf numFmtId="0" fontId="4" fillId="4" borderId="8" xfId="0" applyFont="1" applyFill="1" applyBorder="1" applyAlignment="1">
      <alignment vertical="center"/>
    </xf>
    <xf numFmtId="0" fontId="3" fillId="3" borderId="8" xfId="0" applyFont="1" applyFill="1" applyBorder="1" applyAlignment="1">
      <alignment vertical="center"/>
    </xf>
    <xf numFmtId="1" fontId="0" fillId="5" borderId="0" xfId="0" applyNumberFormat="1" applyFill="1" applyAlignment="1">
      <alignment horizontal="center"/>
    </xf>
    <xf numFmtId="3" fontId="20" fillId="3" borderId="0" xfId="0" applyNumberFormat="1" applyFont="1" applyFill="1" applyAlignment="1">
      <alignment vertical="center" wrapText="1"/>
    </xf>
    <xf numFmtId="0" fontId="11" fillId="0" borderId="0" xfId="2" applyAlignment="1">
      <alignment vertical="center"/>
    </xf>
    <xf numFmtId="0" fontId="11" fillId="0" borderId="0" xfId="2"/>
    <xf numFmtId="0" fontId="0" fillId="3" borderId="0" xfId="0" applyFill="1" applyAlignment="1">
      <alignment vertical="center"/>
    </xf>
    <xf numFmtId="0" fontId="11" fillId="3" borderId="0" xfId="2" applyFill="1" applyAlignment="1">
      <alignment vertical="center"/>
    </xf>
    <xf numFmtId="0" fontId="21" fillId="0" borderId="0" xfId="2" applyFont="1"/>
    <xf numFmtId="0" fontId="4" fillId="3" borderId="0" xfId="0" applyFont="1" applyFill="1" applyAlignment="1">
      <alignment vertical="top" wrapText="1"/>
    </xf>
    <xf numFmtId="0" fontId="4" fillId="3" borderId="0" xfId="0" applyFont="1" applyFill="1" applyAlignment="1">
      <alignment vertical="top"/>
    </xf>
    <xf numFmtId="0" fontId="4" fillId="0" borderId="0" xfId="0" applyFont="1" applyAlignment="1">
      <alignment horizontal="center" vertical="center"/>
    </xf>
    <xf numFmtId="1" fontId="4" fillId="4" borderId="0" xfId="0" applyNumberFormat="1" applyFont="1" applyFill="1" applyAlignment="1">
      <alignment vertical="center"/>
    </xf>
    <xf numFmtId="3" fontId="0" fillId="3" borderId="0" xfId="0" applyNumberFormat="1" applyFill="1" applyAlignment="1">
      <alignment horizontal="center"/>
    </xf>
    <xf numFmtId="165" fontId="4" fillId="4" borderId="0" xfId="0" applyNumberFormat="1" applyFont="1" applyFill="1" applyAlignment="1">
      <alignment vertical="center"/>
    </xf>
    <xf numFmtId="3" fontId="4" fillId="4" borderId="8" xfId="0" applyNumberFormat="1" applyFont="1" applyFill="1" applyBorder="1" applyAlignment="1">
      <alignment horizontal="right" vertical="center"/>
    </xf>
    <xf numFmtId="1" fontId="4" fillId="8" borderId="0" xfId="0" applyNumberFormat="1" applyFont="1" applyFill="1" applyAlignment="1">
      <alignment vertical="center"/>
    </xf>
    <xf numFmtId="3" fontId="4" fillId="8" borderId="0" xfId="0" applyNumberFormat="1" applyFont="1" applyFill="1" applyAlignment="1">
      <alignment vertical="center"/>
    </xf>
    <xf numFmtId="3" fontId="4" fillId="8" borderId="0" xfId="0" applyNumberFormat="1" applyFont="1" applyFill="1" applyAlignment="1">
      <alignment vertical="center" wrapText="1"/>
    </xf>
    <xf numFmtId="3" fontId="4" fillId="8" borderId="0" xfId="0" applyNumberFormat="1" applyFont="1" applyFill="1" applyAlignment="1">
      <alignment horizontal="right" vertical="center"/>
    </xf>
    <xf numFmtId="0" fontId="5" fillId="3" borderId="15" xfId="0" applyFont="1" applyFill="1" applyBorder="1"/>
    <xf numFmtId="0" fontId="0" fillId="3" borderId="16" xfId="0" applyFill="1" applyBorder="1"/>
    <xf numFmtId="0" fontId="0" fillId="3" borderId="17" xfId="0" applyFill="1" applyBorder="1"/>
    <xf numFmtId="0" fontId="0" fillId="3" borderId="18" xfId="0" applyFill="1" applyBorder="1"/>
    <xf numFmtId="3" fontId="0" fillId="3" borderId="18" xfId="0" applyNumberFormat="1" applyFill="1" applyBorder="1" applyAlignment="1">
      <alignment horizontal="left"/>
    </xf>
    <xf numFmtId="0" fontId="0" fillId="3" borderId="17" xfId="0" applyFill="1" applyBorder="1" applyAlignment="1">
      <alignment vertical="center"/>
    </xf>
    <xf numFmtId="1" fontId="0" fillId="3" borderId="17" xfId="0" applyNumberFormat="1" applyFill="1" applyBorder="1" applyAlignment="1">
      <alignment horizontal="center"/>
    </xf>
    <xf numFmtId="1" fontId="0" fillId="8" borderId="17" xfId="0" applyNumberFormat="1" applyFill="1" applyBorder="1" applyAlignment="1">
      <alignment horizontal="center"/>
    </xf>
    <xf numFmtId="1" fontId="0" fillId="8" borderId="18" xfId="0" applyNumberFormat="1" applyFill="1" applyBorder="1"/>
    <xf numFmtId="0" fontId="0" fillId="8" borderId="18" xfId="0" applyFill="1" applyBorder="1"/>
    <xf numFmtId="1" fontId="0" fillId="8" borderId="19" xfId="0" applyNumberFormat="1" applyFill="1" applyBorder="1" applyAlignment="1">
      <alignment horizontal="center"/>
    </xf>
    <xf numFmtId="0" fontId="0" fillId="8" borderId="20" xfId="0" applyFill="1" applyBorder="1"/>
    <xf numFmtId="3" fontId="20" fillId="3" borderId="0" xfId="0" applyNumberFormat="1" applyFont="1" applyFill="1" applyAlignment="1">
      <alignment vertical="top" wrapText="1"/>
    </xf>
    <xf numFmtId="0" fontId="8" fillId="3" borderId="0" xfId="0" applyFont="1" applyFill="1" applyAlignment="1">
      <alignment vertical="top" wrapText="1"/>
    </xf>
    <xf numFmtId="0" fontId="8" fillId="3" borderId="6" xfId="0" applyFont="1" applyFill="1" applyBorder="1" applyAlignment="1">
      <alignment vertical="top" wrapText="1"/>
    </xf>
    <xf numFmtId="0" fontId="19" fillId="8" borderId="0" xfId="0" applyFont="1" applyFill="1" applyAlignment="1">
      <alignment vertical="center"/>
    </xf>
    <xf numFmtId="0" fontId="13" fillId="3" borderId="0" xfId="2" applyFont="1" applyFill="1"/>
    <xf numFmtId="0" fontId="10" fillId="3" borderId="0" xfId="0" applyFont="1" applyFill="1"/>
    <xf numFmtId="0" fontId="17" fillId="3" borderId="0" xfId="0" applyFont="1" applyFill="1"/>
    <xf numFmtId="0" fontId="5" fillId="9" borderId="0" xfId="0" applyFont="1" applyFill="1"/>
    <xf numFmtId="0" fontId="4" fillId="3" borderId="0" xfId="0" applyFont="1" applyFill="1" applyAlignment="1" applyProtection="1">
      <alignment horizontal="center"/>
      <protection locked="0"/>
    </xf>
    <xf numFmtId="3" fontId="4" fillId="11" borderId="1" xfId="0" applyNumberFormat="1" applyFont="1" applyFill="1" applyBorder="1" applyAlignment="1" applyProtection="1">
      <alignment vertical="center"/>
      <protection locked="0"/>
    </xf>
    <xf numFmtId="4" fontId="4" fillId="3" borderId="0" xfId="1" applyNumberFormat="1" applyFont="1" applyFill="1" applyBorder="1" applyAlignment="1" applyProtection="1">
      <alignment horizontal="right" vertical="center"/>
    </xf>
    <xf numFmtId="3" fontId="4" fillId="11" borderId="0" xfId="0" applyNumberFormat="1" applyFont="1" applyFill="1" applyAlignment="1">
      <alignment vertical="center"/>
    </xf>
    <xf numFmtId="3" fontId="4" fillId="11" borderId="0" xfId="0" applyNumberFormat="1" applyFont="1" applyFill="1" applyAlignment="1">
      <alignment horizontal="right" vertical="center"/>
    </xf>
    <xf numFmtId="3" fontId="20" fillId="3" borderId="0" xfId="0" applyNumberFormat="1" applyFont="1" applyFill="1" applyAlignment="1">
      <alignment horizontal="left" vertical="top" wrapText="1"/>
    </xf>
    <xf numFmtId="0" fontId="5" fillId="8" borderId="0" xfId="0" applyFont="1" applyFill="1" applyAlignment="1">
      <alignment horizontal="center" vertical="center"/>
    </xf>
    <xf numFmtId="0" fontId="5" fillId="3" borderId="8" xfId="0" applyFont="1" applyFill="1" applyBorder="1" applyAlignment="1">
      <alignment horizontal="center" vertical="center" wrapText="1"/>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7" fillId="3" borderId="0" xfId="0" applyFont="1" applyFill="1" applyAlignment="1">
      <alignment horizontal="left" vertical="top" wrapText="1"/>
    </xf>
    <xf numFmtId="0" fontId="7" fillId="3" borderId="6" xfId="0" applyFont="1" applyFill="1" applyBorder="1" applyAlignment="1">
      <alignment horizontal="left" vertical="top" wrapText="1"/>
    </xf>
    <xf numFmtId="0" fontId="8" fillId="3" borderId="0" xfId="0" applyFont="1" applyFill="1" applyAlignment="1">
      <alignment horizontal="left" vertical="center" wrapText="1"/>
    </xf>
    <xf numFmtId="0" fontId="8" fillId="3" borderId="6" xfId="0" applyFont="1" applyFill="1" applyBorder="1" applyAlignment="1">
      <alignment horizontal="left" vertical="center" wrapText="1"/>
    </xf>
    <xf numFmtId="0" fontId="8" fillId="3" borderId="0" xfId="0" applyFont="1" applyFill="1" applyAlignment="1">
      <alignment horizontal="left" vertical="top" wrapText="1"/>
    </xf>
    <xf numFmtId="0" fontId="8" fillId="3" borderId="6" xfId="0" applyFont="1" applyFill="1" applyBorder="1" applyAlignment="1">
      <alignment horizontal="left" vertical="top" wrapText="1"/>
    </xf>
    <xf numFmtId="0" fontId="7" fillId="3" borderId="6" xfId="0" applyFont="1" applyFill="1" applyBorder="1" applyAlignment="1">
      <alignment horizontal="left" vertical="center" wrapText="1"/>
    </xf>
    <xf numFmtId="0" fontId="9" fillId="3" borderId="3" xfId="0" applyFont="1" applyFill="1" applyBorder="1" applyAlignment="1">
      <alignment vertical="center" wrapText="1"/>
    </xf>
    <xf numFmtId="0" fontId="9" fillId="3" borderId="8" xfId="0" applyFont="1" applyFill="1" applyBorder="1" applyAlignment="1">
      <alignment vertical="center" wrapText="1"/>
    </xf>
    <xf numFmtId="0" fontId="4" fillId="6" borderId="0" xfId="0" applyFont="1" applyFill="1" applyAlignment="1">
      <alignment vertical="center"/>
    </xf>
    <xf numFmtId="0" fontId="4" fillId="3" borderId="0" xfId="0" applyFont="1" applyFill="1" applyAlignment="1">
      <alignment horizontal="left" vertical="top" wrapText="1"/>
    </xf>
    <xf numFmtId="0" fontId="4" fillId="3" borderId="0" xfId="0" applyFont="1" applyFill="1" applyAlignment="1">
      <alignment horizontal="left" wrapText="1"/>
    </xf>
    <xf numFmtId="0" fontId="3" fillId="5" borderId="0" xfId="0" applyFont="1" applyFill="1" applyAlignment="1">
      <alignment horizontal="center" vertical="center" wrapText="1"/>
    </xf>
    <xf numFmtId="0" fontId="5" fillId="3" borderId="0" xfId="0" applyFont="1" applyFill="1" applyAlignment="1">
      <alignment horizontal="center"/>
    </xf>
  </cellXfs>
  <cellStyles count="3">
    <cellStyle name="Komma" xfId="1" builtinId="3"/>
    <cellStyle name="Link" xfId="2" builtinId="8"/>
    <cellStyle name="Normal" xfId="0" builtinId="0"/>
  </cellStyles>
  <dxfs count="2">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årlige</a:t>
            </a:r>
            <a:r>
              <a:rPr lang="da-DK" sz="1500" b="1" baseline="0"/>
              <a:t> o</a:t>
            </a:r>
            <a:r>
              <a:rPr lang="da-DK" sz="1500" b="1"/>
              <a:t>mkostninger over</a:t>
            </a:r>
            <a:r>
              <a:rPr lang="da-DK" sz="1500" b="1" baseline="0"/>
              <a:t> 50 år inkl. afskrivning</a:t>
            </a:r>
            <a:endParaRPr lang="da-DK" sz="1500" b="1"/>
          </a:p>
        </c:rich>
      </c:tx>
      <c:layout>
        <c:manualLayout>
          <c:xMode val="edge"/>
          <c:yMode val="edge"/>
          <c:x val="0.20065362830274999"/>
          <c:y val="3.337503663933312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0.12285395130370018"/>
          <c:y val="0.12305379079293199"/>
          <c:w val="0.82457196129041233"/>
          <c:h val="0.71874320854495843"/>
        </c:manualLayout>
      </c:layout>
      <c:scatterChart>
        <c:scatterStyle val="lineMarker"/>
        <c:varyColors val="0"/>
        <c:ser>
          <c:idx val="0"/>
          <c:order val="0"/>
          <c:tx>
            <c:strRef>
              <c:f>'Tabel resultat'!$C$6</c:f>
              <c:strCache>
                <c:ptCount val="1"/>
                <c:pt idx="0">
                  <c:v>Naturgas</c:v>
                </c:pt>
              </c:strCache>
            </c:strRef>
          </c:tx>
          <c:spPr>
            <a:ln w="38100" cap="rnd">
              <a:solidFill>
                <a:schemeClr val="accent1"/>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resultat'!$C$7:$C$56</c:f>
              <c:numCache>
                <c:formatCode>#,##0</c:formatCode>
                <c:ptCount val="50"/>
                <c:pt idx="0">
                  <c:v>27776.638264910925</c:v>
                </c:pt>
                <c:pt idx="1">
                  <c:v>27776.638264910925</c:v>
                </c:pt>
                <c:pt idx="2">
                  <c:v>30585.128816585122</c:v>
                </c:pt>
                <c:pt idx="3">
                  <c:v>30585.128816585122</c:v>
                </c:pt>
                <c:pt idx="4">
                  <c:v>30585.128816585122</c:v>
                </c:pt>
                <c:pt idx="5">
                  <c:v>30585.128816585122</c:v>
                </c:pt>
                <c:pt idx="6">
                  <c:v>30585.128816585122</c:v>
                </c:pt>
                <c:pt idx="7">
                  <c:v>30585.128816585122</c:v>
                </c:pt>
                <c:pt idx="8">
                  <c:v>30585.128816585122</c:v>
                </c:pt>
                <c:pt idx="9">
                  <c:v>30585.128816585122</c:v>
                </c:pt>
                <c:pt idx="10">
                  <c:v>30585.128816585122</c:v>
                </c:pt>
                <c:pt idx="11">
                  <c:v>30585.128816585122</c:v>
                </c:pt>
                <c:pt idx="12">
                  <c:v>30585.128816585122</c:v>
                </c:pt>
                <c:pt idx="13">
                  <c:v>30585.128816585122</c:v>
                </c:pt>
                <c:pt idx="14">
                  <c:v>30585.128816585122</c:v>
                </c:pt>
                <c:pt idx="15">
                  <c:v>30585.128816585122</c:v>
                </c:pt>
                <c:pt idx="16">
                  <c:v>30585.128816585122</c:v>
                </c:pt>
                <c:pt idx="17">
                  <c:v>30585.128816585122</c:v>
                </c:pt>
                <c:pt idx="18">
                  <c:v>30585.128816585122</c:v>
                </c:pt>
                <c:pt idx="19">
                  <c:v>30585.128816585122</c:v>
                </c:pt>
                <c:pt idx="20">
                  <c:v>30585.128816585122</c:v>
                </c:pt>
                <c:pt idx="21">
                  <c:v>30585.128816585122</c:v>
                </c:pt>
                <c:pt idx="22">
                  <c:v>30585.128816585122</c:v>
                </c:pt>
                <c:pt idx="23">
                  <c:v>30585.128816585122</c:v>
                </c:pt>
                <c:pt idx="24">
                  <c:v>30585.128816585122</c:v>
                </c:pt>
                <c:pt idx="25">
                  <c:v>30585.128816585122</c:v>
                </c:pt>
                <c:pt idx="26">
                  <c:v>30585.128816585122</c:v>
                </c:pt>
                <c:pt idx="27">
                  <c:v>30585.128816585122</c:v>
                </c:pt>
                <c:pt idx="28">
                  <c:v>30585.128816585122</c:v>
                </c:pt>
                <c:pt idx="29">
                  <c:v>30585.128816585122</c:v>
                </c:pt>
                <c:pt idx="30">
                  <c:v>30585.128816585122</c:v>
                </c:pt>
                <c:pt idx="31">
                  <c:v>30585.128816585122</c:v>
                </c:pt>
                <c:pt idx="32">
                  <c:v>30585.128816585122</c:v>
                </c:pt>
                <c:pt idx="33">
                  <c:v>30585.128816585122</c:v>
                </c:pt>
                <c:pt idx="34">
                  <c:v>30585.128816585122</c:v>
                </c:pt>
                <c:pt idx="35">
                  <c:v>30585.128816585122</c:v>
                </c:pt>
                <c:pt idx="36">
                  <c:v>30585.128816585122</c:v>
                </c:pt>
                <c:pt idx="37">
                  <c:v>30585.128816585122</c:v>
                </c:pt>
                <c:pt idx="38">
                  <c:v>30585.128816585122</c:v>
                </c:pt>
                <c:pt idx="39">
                  <c:v>30585.128816585122</c:v>
                </c:pt>
                <c:pt idx="40">
                  <c:v>30585.128816585122</c:v>
                </c:pt>
                <c:pt idx="41">
                  <c:v>30585.128816585122</c:v>
                </c:pt>
                <c:pt idx="42">
                  <c:v>30585.128816585122</c:v>
                </c:pt>
                <c:pt idx="43">
                  <c:v>30585.128816585122</c:v>
                </c:pt>
                <c:pt idx="44">
                  <c:v>30585.128816585122</c:v>
                </c:pt>
                <c:pt idx="45">
                  <c:v>30585.128816585122</c:v>
                </c:pt>
                <c:pt idx="46">
                  <c:v>30585.128816585122</c:v>
                </c:pt>
                <c:pt idx="47">
                  <c:v>30585.128816585122</c:v>
                </c:pt>
                <c:pt idx="48">
                  <c:v>30585.128816585122</c:v>
                </c:pt>
                <c:pt idx="49">
                  <c:v>30585.128816585122</c:v>
                </c:pt>
              </c:numCache>
            </c:numRef>
          </c:yVal>
          <c:smooth val="0"/>
          <c:extLst>
            <c:ext xmlns:c16="http://schemas.microsoft.com/office/drawing/2014/chart" uri="{C3380CC4-5D6E-409C-BE32-E72D297353CC}">
              <c16:uniqueId val="{00000000-BC6D-49D3-9B0E-44467BFE3F62}"/>
            </c:ext>
          </c:extLst>
        </c:ser>
        <c:ser>
          <c:idx val="1"/>
          <c:order val="1"/>
          <c:tx>
            <c:strRef>
              <c:f>'Tabel resultat'!$D$6</c:f>
              <c:strCache>
                <c:ptCount val="1"/>
                <c:pt idx="0">
                  <c:v>Fjernvarme </c:v>
                </c:pt>
              </c:strCache>
            </c:strRef>
          </c:tx>
          <c:spPr>
            <a:ln w="38100" cap="rnd">
              <a:solidFill>
                <a:schemeClr val="accent6">
                  <a:lumMod val="75000"/>
                </a:schemeClr>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resultat'!$D$7:$D$56</c:f>
              <c:numCache>
                <c:formatCode>0</c:formatCode>
                <c:ptCount val="50"/>
                <c:pt idx="0">
                  <c:v>25983.527212212182</c:v>
                </c:pt>
                <c:pt idx="1">
                  <c:v>25983.527212212182</c:v>
                </c:pt>
                <c:pt idx="2">
                  <c:v>25983.527212212182</c:v>
                </c:pt>
                <c:pt idx="3">
                  <c:v>25983.527212212182</c:v>
                </c:pt>
                <c:pt idx="4">
                  <c:v>25983.527212212182</c:v>
                </c:pt>
                <c:pt idx="5">
                  <c:v>25983.527212212182</c:v>
                </c:pt>
                <c:pt idx="6">
                  <c:v>25983.527212212182</c:v>
                </c:pt>
                <c:pt idx="7">
                  <c:v>25983.527212212182</c:v>
                </c:pt>
                <c:pt idx="8">
                  <c:v>25983.527212212182</c:v>
                </c:pt>
                <c:pt idx="9">
                  <c:v>25983.527212212182</c:v>
                </c:pt>
                <c:pt idx="10">
                  <c:v>25983.527212212182</c:v>
                </c:pt>
                <c:pt idx="11">
                  <c:v>25983.527212212182</c:v>
                </c:pt>
                <c:pt idx="12">
                  <c:v>25983.527212212182</c:v>
                </c:pt>
                <c:pt idx="13">
                  <c:v>25983.527212212182</c:v>
                </c:pt>
                <c:pt idx="14">
                  <c:v>25983.527212212182</c:v>
                </c:pt>
                <c:pt idx="15">
                  <c:v>25983.527212212182</c:v>
                </c:pt>
                <c:pt idx="16">
                  <c:v>25983.527212212182</c:v>
                </c:pt>
                <c:pt idx="17">
                  <c:v>25983.527212212182</c:v>
                </c:pt>
                <c:pt idx="18">
                  <c:v>25983.527212212182</c:v>
                </c:pt>
                <c:pt idx="19">
                  <c:v>25983.527212212182</c:v>
                </c:pt>
                <c:pt idx="20">
                  <c:v>25983.527212212182</c:v>
                </c:pt>
                <c:pt idx="21">
                  <c:v>25983.527212212182</c:v>
                </c:pt>
                <c:pt idx="22">
                  <c:v>25983.527212212182</c:v>
                </c:pt>
                <c:pt idx="23">
                  <c:v>25983.527212212182</c:v>
                </c:pt>
                <c:pt idx="24">
                  <c:v>25983.527212212182</c:v>
                </c:pt>
                <c:pt idx="25">
                  <c:v>25983.527212212182</c:v>
                </c:pt>
                <c:pt idx="26">
                  <c:v>25983.527212212182</c:v>
                </c:pt>
                <c:pt idx="27">
                  <c:v>25983.527212212182</c:v>
                </c:pt>
                <c:pt idx="28">
                  <c:v>25983.527212212182</c:v>
                </c:pt>
                <c:pt idx="29">
                  <c:v>25983.527212212182</c:v>
                </c:pt>
                <c:pt idx="30">
                  <c:v>20132.729030015493</c:v>
                </c:pt>
                <c:pt idx="31">
                  <c:v>20132.729030015493</c:v>
                </c:pt>
                <c:pt idx="32">
                  <c:v>20132.729030015493</c:v>
                </c:pt>
                <c:pt idx="33">
                  <c:v>20132.729030015493</c:v>
                </c:pt>
                <c:pt idx="34">
                  <c:v>20132.729030015493</c:v>
                </c:pt>
                <c:pt idx="35">
                  <c:v>20132.729030015493</c:v>
                </c:pt>
                <c:pt idx="36">
                  <c:v>20132.729030015493</c:v>
                </c:pt>
                <c:pt idx="37">
                  <c:v>20132.729030015493</c:v>
                </c:pt>
                <c:pt idx="38">
                  <c:v>20132.729030015493</c:v>
                </c:pt>
                <c:pt idx="39">
                  <c:v>20132.729030015493</c:v>
                </c:pt>
                <c:pt idx="40">
                  <c:v>20132.729030015493</c:v>
                </c:pt>
                <c:pt idx="41">
                  <c:v>20132.729030015493</c:v>
                </c:pt>
                <c:pt idx="42">
                  <c:v>20132.729030015493</c:v>
                </c:pt>
                <c:pt idx="43">
                  <c:v>20132.729030015493</c:v>
                </c:pt>
                <c:pt idx="44">
                  <c:v>20132.729030015493</c:v>
                </c:pt>
                <c:pt idx="45">
                  <c:v>20132.729030015493</c:v>
                </c:pt>
                <c:pt idx="46">
                  <c:v>20132.729030015493</c:v>
                </c:pt>
                <c:pt idx="47">
                  <c:v>20132.729030015493</c:v>
                </c:pt>
                <c:pt idx="48">
                  <c:v>20132.729030015493</c:v>
                </c:pt>
                <c:pt idx="49">
                  <c:v>20132.729030015493</c:v>
                </c:pt>
              </c:numCache>
            </c:numRef>
          </c:yVal>
          <c:smooth val="0"/>
          <c:extLst>
            <c:ext xmlns:c16="http://schemas.microsoft.com/office/drawing/2014/chart" uri="{C3380CC4-5D6E-409C-BE32-E72D297353CC}">
              <c16:uniqueId val="{00000001-BC6D-49D3-9B0E-44467BFE3F62}"/>
            </c:ext>
          </c:extLst>
        </c:ser>
        <c:ser>
          <c:idx val="2"/>
          <c:order val="2"/>
          <c:tx>
            <c:strRef>
              <c:f>'Tabel resultat'!$E$6</c:f>
              <c:strCache>
                <c:ptCount val="1"/>
                <c:pt idx="0">
                  <c:v>Varmepumpe</c:v>
                </c:pt>
              </c:strCache>
            </c:strRef>
          </c:tx>
          <c:spPr>
            <a:ln w="38100" cap="rnd">
              <a:solidFill>
                <a:schemeClr val="accent2"/>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resultat'!$E$7:$E$56</c:f>
              <c:numCache>
                <c:formatCode>#,##0</c:formatCode>
                <c:ptCount val="50"/>
                <c:pt idx="0">
                  <c:v>31971.980066323555</c:v>
                </c:pt>
                <c:pt idx="1">
                  <c:v>31971.980066323555</c:v>
                </c:pt>
                <c:pt idx="2">
                  <c:v>31971.980066323555</c:v>
                </c:pt>
                <c:pt idx="3">
                  <c:v>31971.980066323555</c:v>
                </c:pt>
                <c:pt idx="4">
                  <c:v>31971.980066323555</c:v>
                </c:pt>
                <c:pt idx="5">
                  <c:v>31971.980066323555</c:v>
                </c:pt>
                <c:pt idx="6">
                  <c:v>31971.980066323555</c:v>
                </c:pt>
                <c:pt idx="7">
                  <c:v>31971.980066323555</c:v>
                </c:pt>
                <c:pt idx="8">
                  <c:v>31971.980066323555</c:v>
                </c:pt>
                <c:pt idx="9">
                  <c:v>31971.980066323555</c:v>
                </c:pt>
                <c:pt idx="10">
                  <c:v>31971.980066323555</c:v>
                </c:pt>
                <c:pt idx="11">
                  <c:v>31971.980066323555</c:v>
                </c:pt>
                <c:pt idx="12">
                  <c:v>31971.980066323555</c:v>
                </c:pt>
                <c:pt idx="13">
                  <c:v>31971.980066323555</c:v>
                </c:pt>
                <c:pt idx="14">
                  <c:v>31971.980066323555</c:v>
                </c:pt>
                <c:pt idx="15">
                  <c:v>31971.980066323555</c:v>
                </c:pt>
                <c:pt idx="16">
                  <c:v>31971.980066323555</c:v>
                </c:pt>
                <c:pt idx="17">
                  <c:v>31971.980066323555</c:v>
                </c:pt>
                <c:pt idx="18">
                  <c:v>31971.980066323555</c:v>
                </c:pt>
                <c:pt idx="19">
                  <c:v>31971.980066323555</c:v>
                </c:pt>
                <c:pt idx="20">
                  <c:v>31971.980066323555</c:v>
                </c:pt>
                <c:pt idx="21">
                  <c:v>31971.980066323555</c:v>
                </c:pt>
                <c:pt idx="22">
                  <c:v>31971.980066323555</c:v>
                </c:pt>
                <c:pt idx="23">
                  <c:v>31971.980066323555</c:v>
                </c:pt>
                <c:pt idx="24">
                  <c:v>31971.980066323555</c:v>
                </c:pt>
                <c:pt idx="25">
                  <c:v>31971.980066323555</c:v>
                </c:pt>
                <c:pt idx="26">
                  <c:v>31971.980066323555</c:v>
                </c:pt>
                <c:pt idx="27">
                  <c:v>31971.980066323555</c:v>
                </c:pt>
                <c:pt idx="28">
                  <c:v>31971.980066323555</c:v>
                </c:pt>
                <c:pt idx="29">
                  <c:v>31971.980066323555</c:v>
                </c:pt>
                <c:pt idx="30">
                  <c:v>31971.980066323555</c:v>
                </c:pt>
                <c:pt idx="31">
                  <c:v>31971.980066323555</c:v>
                </c:pt>
                <c:pt idx="32">
                  <c:v>31971.980066323555</c:v>
                </c:pt>
                <c:pt idx="33">
                  <c:v>31971.980066323555</c:v>
                </c:pt>
                <c:pt idx="34">
                  <c:v>31971.980066323555</c:v>
                </c:pt>
                <c:pt idx="35">
                  <c:v>31971.980066323555</c:v>
                </c:pt>
                <c:pt idx="36">
                  <c:v>31971.980066323555</c:v>
                </c:pt>
                <c:pt idx="37">
                  <c:v>31971.980066323555</c:v>
                </c:pt>
                <c:pt idx="38">
                  <c:v>31971.980066323555</c:v>
                </c:pt>
                <c:pt idx="39">
                  <c:v>31971.980066323555</c:v>
                </c:pt>
                <c:pt idx="40">
                  <c:v>31971.980066323555</c:v>
                </c:pt>
                <c:pt idx="41">
                  <c:v>31971.980066323555</c:v>
                </c:pt>
                <c:pt idx="42">
                  <c:v>31971.980066323555</c:v>
                </c:pt>
                <c:pt idx="43">
                  <c:v>31971.980066323555</c:v>
                </c:pt>
                <c:pt idx="44">
                  <c:v>31971.980066323555</c:v>
                </c:pt>
                <c:pt idx="45">
                  <c:v>31971.980066323555</c:v>
                </c:pt>
                <c:pt idx="46">
                  <c:v>31971.980066323555</c:v>
                </c:pt>
                <c:pt idx="47">
                  <c:v>31971.980066323555</c:v>
                </c:pt>
                <c:pt idx="48">
                  <c:v>31971.980066323555</c:v>
                </c:pt>
                <c:pt idx="49">
                  <c:v>31971.980066323555</c:v>
                </c:pt>
              </c:numCache>
            </c:numRef>
          </c:yVal>
          <c:smooth val="0"/>
          <c:extLst>
            <c:ext xmlns:c16="http://schemas.microsoft.com/office/drawing/2014/chart" uri="{C3380CC4-5D6E-409C-BE32-E72D297353CC}">
              <c16:uniqueId val="{00000002-BC6D-49D3-9B0E-44467BFE3F62}"/>
            </c:ext>
          </c:extLst>
        </c:ser>
        <c:ser>
          <c:idx val="3"/>
          <c:order val="3"/>
          <c:tx>
            <c:strRef>
              <c:f>'Tabel resultat'!$F$6</c:f>
              <c:strCache>
                <c:ptCount val="1"/>
              </c:strCache>
            </c:strRef>
          </c:tx>
          <c:spPr>
            <a:ln w="38100" cap="rnd">
              <a:solidFill>
                <a:schemeClr val="accent4"/>
              </a:solidFill>
              <a:round/>
            </a:ln>
            <a:effectLst/>
          </c:spPr>
          <c:marker>
            <c:symbol val="none"/>
          </c:marker>
          <c:yVal>
            <c:numRef>
              <c:f>'Tabel resultat'!$F$7:$F$56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0-692C-4B17-BDEC-58D9930B1E11}"/>
            </c:ext>
          </c:extLst>
        </c:ser>
        <c:dLbls>
          <c:showLegendKey val="0"/>
          <c:showVal val="0"/>
          <c:showCatName val="0"/>
          <c:showSerName val="0"/>
          <c:showPercent val="0"/>
          <c:showBubbleSize val="0"/>
        </c:dLbls>
        <c:axId val="343324752"/>
        <c:axId val="343319504"/>
      </c:scatterChart>
      <c:valAx>
        <c:axId val="343324752"/>
        <c:scaling>
          <c:orientation val="minMax"/>
          <c:max val="5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19504"/>
        <c:crosses val="autoZero"/>
        <c:crossBetween val="midCat"/>
      </c:valAx>
      <c:valAx>
        <c:axId val="3433195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r>
                  <a:rPr lang="da-DK" sz="1050"/>
                  <a:t>Kr./år</a:t>
                </a:r>
              </a:p>
            </c:rich>
          </c:tx>
          <c:layout>
            <c:manualLayout>
              <c:xMode val="edge"/>
              <c:yMode val="edge"/>
              <c:x val="1.0673288791318694E-2"/>
              <c:y val="0.43823769929796275"/>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24752"/>
        <c:crosses val="autoZero"/>
        <c:crossBetween val="midCat"/>
      </c:valAx>
      <c:spPr>
        <a:noFill/>
        <a:ln>
          <a:noFill/>
        </a:ln>
        <a:effectLst/>
      </c:spPr>
    </c:plotArea>
    <c:legend>
      <c:legendPos val="r"/>
      <c:layout>
        <c:manualLayout>
          <c:xMode val="edge"/>
          <c:yMode val="edge"/>
          <c:x val="0.10944995504405683"/>
          <c:y val="0.91378929929465935"/>
          <c:w val="0.78194238446322606"/>
          <c:h val="8.019752569685359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gennemsnitlige</a:t>
            </a:r>
            <a:r>
              <a:rPr lang="da-DK" sz="1500" b="1" baseline="0"/>
              <a:t> </a:t>
            </a:r>
            <a:r>
              <a:rPr lang="da-DK" sz="1500" b="1"/>
              <a:t>omkostninger pr. måned set over 50 år</a:t>
            </a:r>
          </a:p>
        </c:rich>
      </c:tx>
      <c:layout>
        <c:manualLayout>
          <c:xMode val="edge"/>
          <c:yMode val="edge"/>
          <c:x val="0.12445485397198543"/>
          <c:y val="6.03590947020736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8.7082440389474089E-2"/>
          <c:y val="0.23190092705187612"/>
          <c:w val="0.87281731250108552"/>
          <c:h val="0.647374499240226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1-3BA9-4412-90EE-51C2F533CB6D}"/>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2-3BA9-4412-90EE-51C2F533CB6D}"/>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4-8970-4285-AB95-C6361DB562B7}"/>
              </c:ext>
            </c:extLst>
          </c:dPt>
          <c:dLbls>
            <c:dLbl>
              <c:idx val="0"/>
              <c:tx>
                <c:rich>
                  <a:bodyPr/>
                  <a:lstStyle/>
                  <a:p>
                    <a:fld id="{B470655F-503E-4F14-9E34-EF754A41056F}" type="VALUE">
                      <a:rPr lang="en-US" sz="1100"/>
                      <a:pPr/>
                      <a:t>[VÆRDI]</a:t>
                    </a:fld>
                    <a:r>
                      <a:rPr lang="en-US" sz="1100"/>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BA9-4412-90EE-51C2F533CB6D}"/>
                </c:ext>
              </c:extLst>
            </c:dLbl>
            <c:dLbl>
              <c:idx val="1"/>
              <c:tx>
                <c:rich>
                  <a:bodyPr/>
                  <a:lstStyle/>
                  <a:p>
                    <a:fld id="{D4AA5DAF-608A-486D-9C47-A3EF32C55A55}"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BA9-4412-90EE-51C2F533CB6D}"/>
                </c:ext>
              </c:extLst>
            </c:dLbl>
            <c:dLbl>
              <c:idx val="2"/>
              <c:tx>
                <c:rich>
                  <a:bodyPr/>
                  <a:lstStyle/>
                  <a:p>
                    <a:fld id="{08E1A1B9-838D-4EDD-8B4F-414D27D42C79}"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BA9-4412-90EE-51C2F533CB6D}"/>
                </c:ext>
              </c:extLst>
            </c:dLbl>
            <c:dLbl>
              <c:idx val="3"/>
              <c:tx>
                <c:rich>
                  <a:bodyPr/>
                  <a:lstStyle/>
                  <a:p>
                    <a:fld id="{7F3F8F31-6954-4C62-BC1E-5EE17C26B0B9}" type="VALUE">
                      <a:rPr lang="en-US"/>
                      <a:pPr/>
                      <a:t>[VÆRDI]</a:t>
                    </a:fld>
                    <a:r>
                      <a:rPr lang="en-US"/>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970-4285-AB95-C6361DB562B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 resultat'!$C$6:$F$6</c:f>
              <c:strCache>
                <c:ptCount val="3"/>
                <c:pt idx="0">
                  <c:v>Naturgas</c:v>
                </c:pt>
                <c:pt idx="1">
                  <c:v>Fjernvarme </c:v>
                </c:pt>
                <c:pt idx="2">
                  <c:v>Varmepumpe</c:v>
                </c:pt>
              </c:strCache>
            </c:strRef>
          </c:cat>
          <c:val>
            <c:numRef>
              <c:f>'Tabel resultat'!$C$61:$F$61</c:f>
              <c:numCache>
                <c:formatCode>#,##0</c:formatCode>
                <c:ptCount val="4"/>
                <c:pt idx="0">
                  <c:v>2539.3990995431791</c:v>
                </c:pt>
                <c:pt idx="1">
                  <c:v>1970.267328277793</c:v>
                </c:pt>
                <c:pt idx="2">
                  <c:v>2664.3316721936321</c:v>
                </c:pt>
                <c:pt idx="3">
                  <c:v>#N/A</c:v>
                </c:pt>
              </c:numCache>
            </c:numRef>
          </c:val>
          <c:extLst>
            <c:ext xmlns:c16="http://schemas.microsoft.com/office/drawing/2014/chart" uri="{C3380CC4-5D6E-409C-BE32-E72D297353CC}">
              <c16:uniqueId val="{00000000-3BA9-4412-90EE-51C2F533CB6D}"/>
            </c:ext>
          </c:extLst>
        </c:ser>
        <c:dLbls>
          <c:dLblPos val="outEnd"/>
          <c:showLegendKey val="0"/>
          <c:showVal val="1"/>
          <c:showCatName val="0"/>
          <c:showSerName val="0"/>
          <c:showPercent val="0"/>
          <c:showBubbleSize val="0"/>
        </c:dLbls>
        <c:gapWidth val="219"/>
        <c:overlap val="-27"/>
        <c:axId val="538030488"/>
        <c:axId val="538032128"/>
      </c:barChart>
      <c:catAx>
        <c:axId val="538030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crossAx val="538032128"/>
        <c:crosses val="autoZero"/>
        <c:auto val="1"/>
        <c:lblAlgn val="ctr"/>
        <c:lblOffset val="100"/>
        <c:noMultiLvlLbl val="0"/>
      </c:catAx>
      <c:valAx>
        <c:axId val="5380321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a-DK"/>
          </a:p>
        </c:txPr>
        <c:crossAx val="538030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9205</xdr:colOff>
      <xdr:row>26</xdr:row>
      <xdr:rowOff>11100</xdr:rowOff>
    </xdr:from>
    <xdr:to>
      <xdr:col>11</xdr:col>
      <xdr:colOff>244928</xdr:colOff>
      <xdr:row>44</xdr:row>
      <xdr:rowOff>70838</xdr:rowOff>
    </xdr:to>
    <xdr:graphicFrame macro="">
      <xdr:nvGraphicFramePr>
        <xdr:cNvPr id="4" name="Diagram 3">
          <a:extLst>
            <a:ext uri="{FF2B5EF4-FFF2-40B4-BE49-F238E27FC236}">
              <a16:creationId xmlns:a16="http://schemas.microsoft.com/office/drawing/2014/main" id="{EA60C163-1DB4-4F75-A378-6F27DD40FE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172704</xdr:colOff>
      <xdr:row>1</xdr:row>
      <xdr:rowOff>217209</xdr:rowOff>
    </xdr:from>
    <xdr:to>
      <xdr:col>11</xdr:col>
      <xdr:colOff>719249</xdr:colOff>
      <xdr:row>2</xdr:row>
      <xdr:rowOff>302934</xdr:rowOff>
    </xdr:to>
    <xdr:pic>
      <xdr:nvPicPr>
        <xdr:cNvPr id="2" name="Billede 1">
          <a:extLst>
            <a:ext uri="{FF2B5EF4-FFF2-40B4-BE49-F238E27FC236}">
              <a16:creationId xmlns:a16="http://schemas.microsoft.com/office/drawing/2014/main" id="{B113AC3D-C512-4EC7-A225-A34B1BB331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7561" y="416780"/>
          <a:ext cx="2004687" cy="566511"/>
        </a:xfrm>
        <a:prstGeom prst="rect">
          <a:avLst/>
        </a:prstGeom>
      </xdr:spPr>
    </xdr:pic>
    <xdr:clientData/>
  </xdr:twoCellAnchor>
  <xdr:twoCellAnchor>
    <xdr:from>
      <xdr:col>2</xdr:col>
      <xdr:colOff>190502</xdr:colOff>
      <xdr:row>1</xdr:row>
      <xdr:rowOff>171450</xdr:rowOff>
    </xdr:from>
    <xdr:to>
      <xdr:col>7</xdr:col>
      <xdr:colOff>258536</xdr:colOff>
      <xdr:row>2</xdr:row>
      <xdr:rowOff>380999</xdr:rowOff>
    </xdr:to>
    <xdr:sp macro="" textlink="">
      <xdr:nvSpPr>
        <xdr:cNvPr id="3" name="Tekstfelt 2">
          <a:extLst>
            <a:ext uri="{FF2B5EF4-FFF2-40B4-BE49-F238E27FC236}">
              <a16:creationId xmlns:a16="http://schemas.microsoft.com/office/drawing/2014/main" id="{275A7DE9-D91C-44C3-BE66-C6FBFB07BF7D}"/>
            </a:ext>
          </a:extLst>
        </xdr:cNvPr>
        <xdr:cNvSpPr txBox="1"/>
      </xdr:nvSpPr>
      <xdr:spPr>
        <a:xfrm>
          <a:off x="449038" y="375557"/>
          <a:ext cx="4190998"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a:t>
          </a:r>
          <a:r>
            <a:rPr lang="da-DK" sz="1400" b="0" baseline="0"/>
            <a:t> til Fjernvarme, </a:t>
          </a:r>
          <a:r>
            <a:rPr lang="da-DK" sz="1400" b="0"/>
            <a:t>Version 08-02-2022</a:t>
          </a:r>
        </a:p>
      </xdr:txBody>
    </xdr:sp>
    <xdr:clientData/>
  </xdr:twoCellAnchor>
  <xdr:twoCellAnchor>
    <xdr:from>
      <xdr:col>3</xdr:col>
      <xdr:colOff>4761</xdr:colOff>
      <xdr:row>9</xdr:row>
      <xdr:rowOff>19049</xdr:rowOff>
    </xdr:from>
    <xdr:to>
      <xdr:col>11</xdr:col>
      <xdr:colOff>244928</xdr:colOff>
      <xdr:row>25</xdr:row>
      <xdr:rowOff>18143</xdr:rowOff>
    </xdr:to>
    <xdr:graphicFrame macro="">
      <xdr:nvGraphicFramePr>
        <xdr:cNvPr id="6" name="Diagram 5">
          <a:extLst>
            <a:ext uri="{FF2B5EF4-FFF2-40B4-BE49-F238E27FC236}">
              <a16:creationId xmlns:a16="http://schemas.microsoft.com/office/drawing/2014/main" id="{A3D3EEB2-C086-4F27-BBDF-FE6CAB8732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761999</xdr:colOff>
      <xdr:row>1</xdr:row>
      <xdr:rowOff>219075</xdr:rowOff>
    </xdr:from>
    <xdr:to>
      <xdr:col>9</xdr:col>
      <xdr:colOff>681304</xdr:colOff>
      <xdr:row>2</xdr:row>
      <xdr:rowOff>304800</xdr:rowOff>
    </xdr:to>
    <xdr:pic>
      <xdr:nvPicPr>
        <xdr:cNvPr id="2" name="Billed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4" y="428625"/>
          <a:ext cx="1964638" cy="561975"/>
        </a:xfrm>
        <a:prstGeom prst="rect">
          <a:avLst/>
        </a:prstGeom>
      </xdr:spPr>
    </xdr:pic>
    <xdr:clientData/>
  </xdr:twoCellAnchor>
  <xdr:twoCellAnchor>
    <xdr:from>
      <xdr:col>2</xdr:col>
      <xdr:colOff>190502</xdr:colOff>
      <xdr:row>1</xdr:row>
      <xdr:rowOff>171450</xdr:rowOff>
    </xdr:from>
    <xdr:to>
      <xdr:col>4</xdr:col>
      <xdr:colOff>428626</xdr:colOff>
      <xdr:row>2</xdr:row>
      <xdr:rowOff>380999</xdr:rowOff>
    </xdr:to>
    <xdr:sp macro="" textlink="">
      <xdr:nvSpPr>
        <xdr:cNvPr id="3" name="Tekstfelt 2">
          <a:extLst>
            <a:ext uri="{FF2B5EF4-FFF2-40B4-BE49-F238E27FC236}">
              <a16:creationId xmlns:a16="http://schemas.microsoft.com/office/drawing/2014/main" id="{C84E9272-F70B-480D-AFA7-78F897B71657}"/>
            </a:ext>
          </a:extLst>
        </xdr:cNvPr>
        <xdr:cNvSpPr txBox="1"/>
      </xdr:nvSpPr>
      <xdr:spPr>
        <a:xfrm>
          <a:off x="342902" y="381000"/>
          <a:ext cx="3400424"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a:t>
          </a:r>
          <a:r>
            <a:rPr lang="da-DK" sz="1400" b="0" baseline="0"/>
            <a:t>, </a:t>
          </a:r>
          <a:r>
            <a:rPr lang="da-DK" sz="1400" b="0"/>
            <a:t>Version 08-02-2022</a:t>
          </a:r>
        </a:p>
      </xdr:txBody>
    </xdr:sp>
    <xdr:clientData/>
  </xdr:twoCellAnchor>
  <xdr:oneCellAnchor>
    <xdr:from>
      <xdr:col>7</xdr:col>
      <xdr:colOff>761999</xdr:colOff>
      <xdr:row>58</xdr:row>
      <xdr:rowOff>219075</xdr:rowOff>
    </xdr:from>
    <xdr:ext cx="1971442" cy="561975"/>
    <xdr:pic>
      <xdr:nvPicPr>
        <xdr:cNvPr id="4" name="Billede 3">
          <a:extLst>
            <a:ext uri="{FF2B5EF4-FFF2-40B4-BE49-F238E27FC236}">
              <a16:creationId xmlns:a16="http://schemas.microsoft.com/office/drawing/2014/main" id="{8EB20413-B645-4B20-94BF-5B2AD3C755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7963" y="423182"/>
          <a:ext cx="1971442" cy="561975"/>
        </a:xfrm>
        <a:prstGeom prst="rect">
          <a:avLst/>
        </a:prstGeom>
      </xdr:spPr>
    </xdr:pic>
    <xdr:clientData/>
  </xdr:oneCellAnchor>
  <xdr:twoCellAnchor>
    <xdr:from>
      <xdr:col>2</xdr:col>
      <xdr:colOff>190502</xdr:colOff>
      <xdr:row>58</xdr:row>
      <xdr:rowOff>171450</xdr:rowOff>
    </xdr:from>
    <xdr:to>
      <xdr:col>4</xdr:col>
      <xdr:colOff>428626</xdr:colOff>
      <xdr:row>59</xdr:row>
      <xdr:rowOff>380999</xdr:rowOff>
    </xdr:to>
    <xdr:sp macro="" textlink="">
      <xdr:nvSpPr>
        <xdr:cNvPr id="5" name="Tekstfelt 4">
          <a:extLst>
            <a:ext uri="{FF2B5EF4-FFF2-40B4-BE49-F238E27FC236}">
              <a16:creationId xmlns:a16="http://schemas.microsoft.com/office/drawing/2014/main" id="{C6BFF3BB-7F05-4095-8690-49E75E47EBB0}"/>
            </a:ext>
          </a:extLst>
        </xdr:cNvPr>
        <xdr:cNvSpPr txBox="1"/>
      </xdr:nvSpPr>
      <xdr:spPr>
        <a:xfrm>
          <a:off x="340181" y="375557"/>
          <a:ext cx="3394981"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oneCellAnchor>
    <xdr:from>
      <xdr:col>7</xdr:col>
      <xdr:colOff>761999</xdr:colOff>
      <xdr:row>124</xdr:row>
      <xdr:rowOff>219075</xdr:rowOff>
    </xdr:from>
    <xdr:ext cx="1971442" cy="561975"/>
    <xdr:pic>
      <xdr:nvPicPr>
        <xdr:cNvPr id="8" name="Billede 7">
          <a:extLst>
            <a:ext uri="{FF2B5EF4-FFF2-40B4-BE49-F238E27FC236}">
              <a16:creationId xmlns:a16="http://schemas.microsoft.com/office/drawing/2014/main" id="{55D469E1-2C8F-456B-BE51-98273D743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9617" y="10707781"/>
          <a:ext cx="1971442" cy="561975"/>
        </a:xfrm>
        <a:prstGeom prst="rect">
          <a:avLst/>
        </a:prstGeom>
      </xdr:spPr>
    </xdr:pic>
    <xdr:clientData/>
  </xdr:oneCellAnchor>
  <xdr:twoCellAnchor>
    <xdr:from>
      <xdr:col>2</xdr:col>
      <xdr:colOff>190502</xdr:colOff>
      <xdr:row>124</xdr:row>
      <xdr:rowOff>171450</xdr:rowOff>
    </xdr:from>
    <xdr:to>
      <xdr:col>4</xdr:col>
      <xdr:colOff>428626</xdr:colOff>
      <xdr:row>125</xdr:row>
      <xdr:rowOff>380999</xdr:rowOff>
    </xdr:to>
    <xdr:sp macro="" textlink="">
      <xdr:nvSpPr>
        <xdr:cNvPr id="9" name="Tekstfelt 8">
          <a:extLst>
            <a:ext uri="{FF2B5EF4-FFF2-40B4-BE49-F238E27FC236}">
              <a16:creationId xmlns:a16="http://schemas.microsoft.com/office/drawing/2014/main" id="{EDE36C68-D5DD-4B1C-87AF-6349834C4114}"/>
            </a:ext>
          </a:extLst>
        </xdr:cNvPr>
        <xdr:cNvSpPr txBox="1"/>
      </xdr:nvSpPr>
      <xdr:spPr>
        <a:xfrm>
          <a:off x="448237" y="20655803"/>
          <a:ext cx="3398183" cy="691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88</xdr:row>
      <xdr:rowOff>85725</xdr:rowOff>
    </xdr:from>
    <xdr:to>
      <xdr:col>6</xdr:col>
      <xdr:colOff>598169</xdr:colOff>
      <xdr:row>106</xdr:row>
      <xdr:rowOff>6771</xdr:rowOff>
    </xdr:to>
    <xdr:pic>
      <xdr:nvPicPr>
        <xdr:cNvPr id="2" name="Billede 1">
          <a:extLst>
            <a:ext uri="{FF2B5EF4-FFF2-40B4-BE49-F238E27FC236}">
              <a16:creationId xmlns:a16="http://schemas.microsoft.com/office/drawing/2014/main" id="{0CE588A6-FFDD-4A8F-98D8-B25FC4F8F1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0875" y="17478375"/>
          <a:ext cx="3797299" cy="3462441"/>
        </a:xfrm>
        <a:prstGeom prst="rect">
          <a:avLst/>
        </a:prstGeom>
      </xdr:spPr>
    </xdr:pic>
    <xdr:clientData/>
  </xdr:twoCellAnchor>
  <xdr:twoCellAnchor editAs="oneCell">
    <xdr:from>
      <xdr:col>1</xdr:col>
      <xdr:colOff>1</xdr:colOff>
      <xdr:row>9</xdr:row>
      <xdr:rowOff>0</xdr:rowOff>
    </xdr:from>
    <xdr:to>
      <xdr:col>9</xdr:col>
      <xdr:colOff>313012</xdr:colOff>
      <xdr:row>25</xdr:row>
      <xdr:rowOff>55021</xdr:rowOff>
    </xdr:to>
    <xdr:pic>
      <xdr:nvPicPr>
        <xdr:cNvPr id="3" name="Billede 2">
          <a:extLst>
            <a:ext uri="{FF2B5EF4-FFF2-40B4-BE49-F238E27FC236}">
              <a16:creationId xmlns:a16="http://schemas.microsoft.com/office/drawing/2014/main" id="{E8A36479-B0D6-49D1-8A3B-9E9EBE741B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1351" y="1847850"/>
          <a:ext cx="5441906" cy="3202081"/>
        </a:xfrm>
        <a:prstGeom prst="rect">
          <a:avLst/>
        </a:prstGeom>
      </xdr:spPr>
    </xdr:pic>
    <xdr:clientData/>
  </xdr:twoCellAnchor>
  <xdr:twoCellAnchor editAs="oneCell">
    <xdr:from>
      <xdr:col>12</xdr:col>
      <xdr:colOff>593914</xdr:colOff>
      <xdr:row>10</xdr:row>
      <xdr:rowOff>100852</xdr:rowOff>
    </xdr:from>
    <xdr:to>
      <xdr:col>25</xdr:col>
      <xdr:colOff>552900</xdr:colOff>
      <xdr:row>23</xdr:row>
      <xdr:rowOff>13110</xdr:rowOff>
    </xdr:to>
    <xdr:pic>
      <xdr:nvPicPr>
        <xdr:cNvPr id="4" name="Billede 3">
          <a:extLst>
            <a:ext uri="{FF2B5EF4-FFF2-40B4-BE49-F238E27FC236}">
              <a16:creationId xmlns:a16="http://schemas.microsoft.com/office/drawing/2014/main" id="{A93A7AA0-B79A-4481-9574-965218132530}"/>
            </a:ext>
          </a:extLst>
        </xdr:cNvPr>
        <xdr:cNvPicPr>
          <a:picLocks noChangeAspect="1"/>
        </xdr:cNvPicPr>
      </xdr:nvPicPr>
      <xdr:blipFill rotWithShape="1">
        <a:blip xmlns:r="http://schemas.openxmlformats.org/officeDocument/2006/relationships" r:embed="rId3"/>
        <a:srcRect l="59782" t="41083" r="18311" b="36854"/>
        <a:stretch/>
      </xdr:blipFill>
      <xdr:spPr>
        <a:xfrm>
          <a:off x="8290114" y="2145552"/>
          <a:ext cx="8489576" cy="2463053"/>
        </a:xfrm>
        <a:prstGeom prst="rect">
          <a:avLst/>
        </a:prstGeom>
      </xdr:spPr>
    </xdr:pic>
    <xdr:clientData/>
  </xdr:twoCellAnchor>
  <xdr:twoCellAnchor editAs="oneCell">
    <xdr:from>
      <xdr:col>0</xdr:col>
      <xdr:colOff>593914</xdr:colOff>
      <xdr:row>50</xdr:row>
      <xdr:rowOff>78441</xdr:rowOff>
    </xdr:from>
    <xdr:to>
      <xdr:col>14</xdr:col>
      <xdr:colOff>334274</xdr:colOff>
      <xdr:row>55</xdr:row>
      <xdr:rowOff>125171</xdr:rowOff>
    </xdr:to>
    <xdr:pic>
      <xdr:nvPicPr>
        <xdr:cNvPr id="5" name="Billede 4">
          <a:extLst>
            <a:ext uri="{FF2B5EF4-FFF2-40B4-BE49-F238E27FC236}">
              <a16:creationId xmlns:a16="http://schemas.microsoft.com/office/drawing/2014/main" id="{8E5696A8-689A-4E23-89A0-91DA59604E4D}"/>
            </a:ext>
          </a:extLst>
        </xdr:cNvPr>
        <xdr:cNvPicPr>
          <a:picLocks noChangeAspect="1"/>
        </xdr:cNvPicPr>
      </xdr:nvPicPr>
      <xdr:blipFill rotWithShape="1">
        <a:blip xmlns:r="http://schemas.openxmlformats.org/officeDocument/2006/relationships" r:embed="rId4"/>
        <a:srcRect l="59689" t="23729" r="17851" b="67054"/>
        <a:stretch/>
      </xdr:blipFill>
      <xdr:spPr>
        <a:xfrm>
          <a:off x="593914" y="9990791"/>
          <a:ext cx="8721165" cy="1029075"/>
        </a:xfrm>
        <a:prstGeom prst="rect">
          <a:avLst/>
        </a:prstGeom>
      </xdr:spPr>
    </xdr:pic>
    <xdr:clientData/>
  </xdr:twoCellAnchor>
  <xdr:twoCellAnchor editAs="oneCell">
    <xdr:from>
      <xdr:col>1</xdr:col>
      <xdr:colOff>22413</xdr:colOff>
      <xdr:row>43</xdr:row>
      <xdr:rowOff>0</xdr:rowOff>
    </xdr:from>
    <xdr:to>
      <xdr:col>14</xdr:col>
      <xdr:colOff>367891</xdr:colOff>
      <xdr:row>47</xdr:row>
      <xdr:rowOff>158787</xdr:rowOff>
    </xdr:to>
    <xdr:pic>
      <xdr:nvPicPr>
        <xdr:cNvPr id="6" name="Billede 5">
          <a:extLst>
            <a:ext uri="{FF2B5EF4-FFF2-40B4-BE49-F238E27FC236}">
              <a16:creationId xmlns:a16="http://schemas.microsoft.com/office/drawing/2014/main" id="{2023590F-1830-44ED-9245-24C88E0C60D7}"/>
            </a:ext>
          </a:extLst>
        </xdr:cNvPr>
        <xdr:cNvPicPr>
          <a:picLocks noChangeAspect="1"/>
        </xdr:cNvPicPr>
      </xdr:nvPicPr>
      <xdr:blipFill rotWithShape="1">
        <a:blip xmlns:r="http://schemas.openxmlformats.org/officeDocument/2006/relationships" r:embed="rId4"/>
        <a:srcRect l="59689" t="41770" r="17851" b="49797"/>
        <a:stretch/>
      </xdr:blipFill>
      <xdr:spPr>
        <a:xfrm>
          <a:off x="663763" y="8534400"/>
          <a:ext cx="8684933" cy="944282"/>
        </a:xfrm>
        <a:prstGeom prst="rect">
          <a:avLst/>
        </a:prstGeom>
      </xdr:spPr>
    </xdr:pic>
    <xdr:clientData/>
  </xdr:twoCellAnchor>
  <xdr:twoCellAnchor editAs="oneCell">
    <xdr:from>
      <xdr:col>0</xdr:col>
      <xdr:colOff>635000</xdr:colOff>
      <xdr:row>169</xdr:row>
      <xdr:rowOff>119529</xdr:rowOff>
    </xdr:from>
    <xdr:to>
      <xdr:col>11</xdr:col>
      <xdr:colOff>324578</xdr:colOff>
      <xdr:row>191</xdr:row>
      <xdr:rowOff>102681</xdr:rowOff>
    </xdr:to>
    <xdr:pic>
      <xdr:nvPicPr>
        <xdr:cNvPr id="7" name="Billede 6">
          <a:extLst>
            <a:ext uri="{FF2B5EF4-FFF2-40B4-BE49-F238E27FC236}">
              <a16:creationId xmlns:a16="http://schemas.microsoft.com/office/drawing/2014/main" id="{A51CD179-AD60-406F-BB27-9FFAD01BC12D}"/>
            </a:ext>
          </a:extLst>
        </xdr:cNvPr>
        <xdr:cNvPicPr>
          <a:picLocks noChangeAspect="1"/>
        </xdr:cNvPicPr>
      </xdr:nvPicPr>
      <xdr:blipFill rotWithShape="1">
        <a:blip xmlns:r="http://schemas.openxmlformats.org/officeDocument/2006/relationships" r:embed="rId5"/>
        <a:srcRect l="65855" t="18119" r="3336" b="35474"/>
        <a:stretch/>
      </xdr:blipFill>
      <xdr:spPr bwMode="auto">
        <a:xfrm>
          <a:off x="635000" y="32885529"/>
          <a:ext cx="6740618" cy="4315758"/>
        </a:xfrm>
        <a:prstGeom prst="rect">
          <a:avLst/>
        </a:prstGeom>
        <a:ln>
          <a:noFill/>
        </a:ln>
        <a:extLst>
          <a:ext uri="{53640926-AAD7-44D8-BBD7-CCE9431645EC}">
            <a14:shadowObscured xmlns:a14="http://schemas.microsoft.com/office/drawing/2010/main"/>
          </a:ext>
        </a:extLst>
      </xdr:spPr>
    </xdr:pic>
    <xdr:clientData/>
  </xdr:twoCellAnchor>
  <xdr:twoCellAnchor>
    <xdr:from>
      <xdr:col>9</xdr:col>
      <xdr:colOff>373</xdr:colOff>
      <xdr:row>192</xdr:row>
      <xdr:rowOff>7845</xdr:rowOff>
    </xdr:from>
    <xdr:to>
      <xdr:col>12</xdr:col>
      <xdr:colOff>350743</xdr:colOff>
      <xdr:row>199</xdr:row>
      <xdr:rowOff>119531</xdr:rowOff>
    </xdr:to>
    <xdr:pic>
      <xdr:nvPicPr>
        <xdr:cNvPr id="8" name="Billede 3">
          <a:extLst>
            <a:ext uri="{FF2B5EF4-FFF2-40B4-BE49-F238E27FC236}">
              <a16:creationId xmlns:a16="http://schemas.microsoft.com/office/drawing/2014/main" id="{87C44774-2F05-48E4-BBA4-6B64530C65BE}"/>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864" b="62048"/>
        <a:stretch/>
      </xdr:blipFill>
      <xdr:spPr bwMode="auto">
        <a:xfrm>
          <a:off x="5772523" y="37301395"/>
          <a:ext cx="2274420" cy="1489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635000</xdr:colOff>
      <xdr:row>200</xdr:row>
      <xdr:rowOff>89647</xdr:rowOff>
    </xdr:from>
    <xdr:to>
      <xdr:col>12</xdr:col>
      <xdr:colOff>342900</xdr:colOff>
      <xdr:row>208</xdr:row>
      <xdr:rowOff>51920</xdr:rowOff>
    </xdr:to>
    <xdr:pic>
      <xdr:nvPicPr>
        <xdr:cNvPr id="9" name="Billede 3">
          <a:extLst>
            <a:ext uri="{FF2B5EF4-FFF2-40B4-BE49-F238E27FC236}">
              <a16:creationId xmlns:a16="http://schemas.microsoft.com/office/drawing/2014/main" id="{63A804A9-63DA-4FAC-B9C8-D71B40D8520C}"/>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60892" r="2864"/>
        <a:stretch/>
      </xdr:blipFill>
      <xdr:spPr bwMode="auto">
        <a:xfrm>
          <a:off x="5765800" y="38957997"/>
          <a:ext cx="2273300" cy="1537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anskvvsogklima.dk/alternativ-energi/luft-til-vand-varmepumpe/bosch-compress-7000i-aw/" TargetMode="External"/><Relationship Id="rId13" Type="http://schemas.openxmlformats.org/officeDocument/2006/relationships/printerSettings" Target="../printerSettings/printerSettings3.bin"/><Relationship Id="rId3" Type="http://schemas.openxmlformats.org/officeDocument/2006/relationships/hyperlink" Target="https://ens.dk/service/tilskuds-stoetteordninger/afkoblingsordningen" TargetMode="External"/><Relationship Id="rId7" Type="http://schemas.openxmlformats.org/officeDocument/2006/relationships/hyperlink" Target="https://www.gasfakta.dk/sites/default/files/inline-files/Fakta_gas_boligopvarmning_nov2020.pdf" TargetMode="External"/><Relationship Id="rId12" Type="http://schemas.openxmlformats.org/officeDocument/2006/relationships/hyperlink" Target="https://ens.dk/service/fremskrivninger-analyser-modeller/teknologikataloger/teknologikatalog-individuelle" TargetMode="External"/><Relationship Id="rId2" Type="http://schemas.openxmlformats.org/officeDocument/2006/relationships/hyperlink" Target="https://evida.dk/varmeplanlaegning/beregningsforudsaetninger/" TargetMode="External"/><Relationship Id="rId1" Type="http://schemas.openxmlformats.org/officeDocument/2006/relationships/hyperlink" Target="http://www.hbemo.dk/haandbogen" TargetMode="External"/><Relationship Id="rId6" Type="http://schemas.openxmlformats.org/officeDocument/2006/relationships/hyperlink" Target="https://evida.dk/kundeservice/priser-og-betingelser/frakobling-fra-gasnettet/" TargetMode="External"/><Relationship Id="rId11" Type="http://schemas.openxmlformats.org/officeDocument/2006/relationships/hyperlink" Target="https://www.billigventilation.dk/shop/bosch-compress-7000i-aw-13-4689p.html" TargetMode="External"/><Relationship Id="rId5" Type="http://schemas.openxmlformats.org/officeDocument/2006/relationships/hyperlink" Target="https://evida.dk/varmeplanlaegning/beregningsforudsaetninger/" TargetMode="External"/><Relationship Id="rId10" Type="http://schemas.openxmlformats.org/officeDocument/2006/relationships/hyperlink" Target="https://evu.dk/wp-content/uploads/2019/06/Varmepumper.pdf" TargetMode="External"/><Relationship Id="rId4" Type="http://schemas.openxmlformats.org/officeDocument/2006/relationships/hyperlink" Target="https://evida.dk/varmeplanlaegning/beregningsforudsaetninger/" TargetMode="External"/><Relationship Id="rId9" Type="http://schemas.openxmlformats.org/officeDocument/2006/relationships/hyperlink" Target="https://byggeriogenergi.dk/media/2380/varmeafgiversystem-til-varmepumper_2019.pdf" TargetMode="External"/><Relationship Id="rId1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9B674-8E4C-402B-A1A3-E0C4CD986369}">
  <sheetPr>
    <pageSetUpPr fitToPage="1"/>
  </sheetPr>
  <dimension ref="A1:P206"/>
  <sheetViews>
    <sheetView tabSelected="1" topLeftCell="A5" zoomScaleNormal="100" zoomScaleSheetLayoutView="55" zoomScalePageLayoutView="70" workbookViewId="0">
      <selection activeCell="J61" sqref="J61"/>
    </sheetView>
  </sheetViews>
  <sheetFormatPr defaultColWidth="0" defaultRowHeight="0" customHeight="1" zeroHeight="1" x14ac:dyDescent="0.25"/>
  <cols>
    <col min="1" max="1" width="2.28515625" style="1" customWidth="1"/>
    <col min="2" max="2" width="2.7109375" style="1" customWidth="1"/>
    <col min="3" max="3" width="6.85546875" style="1" customWidth="1"/>
    <col min="4" max="4" width="15.5703125" style="1" customWidth="1"/>
    <col min="5" max="5" width="12.28515625" style="1" customWidth="1"/>
    <col min="6" max="6" width="18.7109375" style="1" customWidth="1"/>
    <col min="7" max="7" width="14.5703125" style="1" customWidth="1"/>
    <col min="8" max="8" width="15.5703125" style="1" customWidth="1"/>
    <col min="9" max="9" width="6" style="1" customWidth="1"/>
    <col min="10" max="10" width="6.42578125" style="1" customWidth="1"/>
    <col min="11" max="11" width="8.7109375" style="1" customWidth="1"/>
    <col min="12" max="12" width="13.5703125" style="1" customWidth="1"/>
    <col min="13" max="13" width="1.85546875" style="1" customWidth="1"/>
    <col min="14" max="14" width="2.85546875" style="1" customWidth="1"/>
    <col min="15" max="17" width="9.140625" style="1" hidden="1" customWidth="1"/>
    <col min="18" max="16384" width="9.140625" style="1" hidden="1"/>
  </cols>
  <sheetData>
    <row r="1" spans="1:16" ht="16.5" thickBot="1" x14ac:dyDescent="0.3"/>
    <row r="2" spans="1:16" s="5" customFormat="1" ht="37.5" customHeight="1" x14ac:dyDescent="0.25">
      <c r="A2" s="1"/>
      <c r="B2" s="2"/>
      <c r="C2" s="3"/>
      <c r="D2" s="3"/>
      <c r="E2" s="3"/>
      <c r="F2" s="3"/>
      <c r="G2" s="3"/>
      <c r="H2" s="3"/>
      <c r="I2" s="3"/>
      <c r="J2" s="47"/>
      <c r="K2" s="47"/>
      <c r="L2" s="47"/>
      <c r="M2" s="4"/>
      <c r="N2" s="1"/>
      <c r="O2" s="1"/>
      <c r="P2" s="1"/>
    </row>
    <row r="3" spans="1:16" s="5" customFormat="1" ht="38.25" customHeight="1" thickBot="1" x14ac:dyDescent="0.3">
      <c r="A3" s="1"/>
      <c r="B3" s="34"/>
      <c r="C3" s="187"/>
      <c r="D3" s="187"/>
      <c r="E3" s="187"/>
      <c r="F3" s="187"/>
      <c r="G3" s="187"/>
      <c r="H3" s="187"/>
      <c r="I3" s="187"/>
      <c r="J3" s="35"/>
      <c r="K3" s="35"/>
      <c r="L3" s="35"/>
      <c r="M3" s="37"/>
      <c r="N3" s="1"/>
      <c r="O3" s="1"/>
      <c r="P3" s="1"/>
    </row>
    <row r="4" spans="1:16" s="5" customFormat="1" ht="22.5" customHeight="1" x14ac:dyDescent="0.25">
      <c r="A4" s="1"/>
      <c r="B4" s="2"/>
      <c r="C4" s="188" t="s">
        <v>0</v>
      </c>
      <c r="D4" s="188"/>
      <c r="E4" s="188"/>
      <c r="F4" s="188"/>
      <c r="G4" s="188"/>
      <c r="H4" s="188"/>
      <c r="I4" s="188"/>
      <c r="J4" s="188"/>
      <c r="K4" s="188"/>
      <c r="L4" s="79"/>
      <c r="M4" s="44"/>
      <c r="N4" s="1"/>
      <c r="O4" s="1"/>
      <c r="P4" s="1"/>
    </row>
    <row r="5" spans="1:16" s="5" customFormat="1" ht="19.5" customHeight="1" x14ac:dyDescent="0.25">
      <c r="A5" s="1"/>
      <c r="B5" s="14"/>
      <c r="C5" s="189"/>
      <c r="D5" s="189"/>
      <c r="E5" s="189"/>
      <c r="F5" s="189"/>
      <c r="G5" s="189"/>
      <c r="H5" s="189"/>
      <c r="I5" s="189"/>
      <c r="J5" s="189"/>
      <c r="K5" s="189"/>
      <c r="L5" s="80"/>
      <c r="M5" s="42"/>
      <c r="N5" s="1"/>
      <c r="O5" s="1"/>
      <c r="P5" s="1"/>
    </row>
    <row r="6" spans="1:16" s="5" customFormat="1" ht="15.95" customHeight="1" x14ac:dyDescent="0.25">
      <c r="A6" s="1"/>
      <c r="B6" s="12"/>
      <c r="C6" s="8"/>
      <c r="D6" s="8"/>
      <c r="E6" s="8"/>
      <c r="F6" s="8"/>
      <c r="G6" s="1"/>
      <c r="H6" s="1"/>
      <c r="I6" s="1"/>
      <c r="J6" s="1"/>
      <c r="K6" s="1"/>
      <c r="L6" s="1"/>
      <c r="M6" s="9"/>
      <c r="N6" s="1"/>
      <c r="O6" s="1"/>
      <c r="P6" s="1"/>
    </row>
    <row r="7" spans="1:16" s="5" customFormat="1" ht="15.95" customHeight="1" x14ac:dyDescent="0.25">
      <c r="A7" s="1"/>
      <c r="B7" s="12"/>
      <c r="C7" s="43" t="s">
        <v>1</v>
      </c>
      <c r="D7" s="43"/>
      <c r="E7" s="8"/>
      <c r="F7" s="8"/>
      <c r="G7" s="1"/>
      <c r="H7" s="1"/>
      <c r="I7" s="1"/>
      <c r="J7" s="1"/>
      <c r="K7" s="1"/>
      <c r="L7" s="1"/>
      <c r="M7" s="9"/>
      <c r="N7" s="1"/>
      <c r="O7" s="1"/>
      <c r="P7" s="1"/>
    </row>
    <row r="8" spans="1:16" s="5" customFormat="1" ht="15.95" customHeight="1" x14ac:dyDescent="0.25">
      <c r="A8" s="1"/>
      <c r="B8" s="12"/>
      <c r="C8" s="190" t="s">
        <v>2</v>
      </c>
      <c r="D8" s="190"/>
      <c r="E8" s="190"/>
      <c r="F8" s="190"/>
      <c r="G8" s="190"/>
      <c r="H8" s="190"/>
      <c r="I8" s="190"/>
      <c r="J8" s="190"/>
      <c r="K8" s="190"/>
      <c r="L8" s="81"/>
      <c r="M8" s="9"/>
      <c r="N8" s="1"/>
      <c r="O8" s="1"/>
      <c r="P8" s="1"/>
    </row>
    <row r="9" spans="1:16" s="5" customFormat="1" ht="15.95" customHeight="1" x14ac:dyDescent="0.25">
      <c r="A9" s="1"/>
      <c r="B9" s="12"/>
      <c r="C9" s="48"/>
      <c r="D9" s="48"/>
      <c r="E9" s="48"/>
      <c r="F9" s="49"/>
      <c r="G9" s="1"/>
      <c r="H9" s="1"/>
      <c r="I9" s="1"/>
      <c r="J9" s="1"/>
      <c r="K9" s="1"/>
      <c r="L9" s="1"/>
      <c r="M9" s="9"/>
      <c r="N9" s="1"/>
      <c r="O9" s="1"/>
      <c r="P9" s="1"/>
    </row>
    <row r="10" spans="1:16" s="5" customFormat="1" ht="15.95" customHeight="1" x14ac:dyDescent="0.25">
      <c r="A10" s="1"/>
      <c r="B10" s="12"/>
      <c r="C10" s="48"/>
      <c r="D10" s="48"/>
      <c r="E10" s="48"/>
      <c r="F10" s="49"/>
      <c r="G10" s="1"/>
      <c r="H10" s="1"/>
      <c r="I10" s="1"/>
      <c r="J10" s="1"/>
      <c r="K10" s="1"/>
      <c r="L10" s="1"/>
      <c r="M10" s="9"/>
      <c r="N10" s="1"/>
      <c r="O10" s="1"/>
      <c r="P10" s="1"/>
    </row>
    <row r="11" spans="1:16" s="5" customFormat="1" ht="15.95" customHeight="1" x14ac:dyDescent="0.25">
      <c r="A11" s="1"/>
      <c r="B11" s="12"/>
      <c r="C11" s="48"/>
      <c r="D11" s="48"/>
      <c r="E11" s="48"/>
      <c r="F11" s="49"/>
      <c r="G11" s="1"/>
      <c r="H11" s="1"/>
      <c r="I11" s="1"/>
      <c r="J11" s="1"/>
      <c r="K11" s="1"/>
      <c r="L11" s="1"/>
      <c r="M11" s="9"/>
      <c r="N11" s="1"/>
      <c r="O11" s="1"/>
      <c r="P11" s="1"/>
    </row>
    <row r="12" spans="1:16" s="5" customFormat="1" ht="15.95" customHeight="1" x14ac:dyDescent="0.25">
      <c r="A12" s="1"/>
      <c r="B12" s="12"/>
      <c r="C12" s="48"/>
      <c r="D12" s="48"/>
      <c r="E12" s="48"/>
      <c r="F12" s="49"/>
      <c r="G12" s="1"/>
      <c r="H12" s="1"/>
      <c r="I12" s="1"/>
      <c r="J12" s="1"/>
      <c r="K12" s="1"/>
      <c r="L12" s="1"/>
      <c r="M12" s="9"/>
      <c r="N12" s="1"/>
      <c r="O12" s="1"/>
      <c r="P12" s="1"/>
    </row>
    <row r="13" spans="1:16" s="5" customFormat="1" ht="15.95" customHeight="1" x14ac:dyDescent="0.25">
      <c r="A13" s="1"/>
      <c r="B13" s="12"/>
      <c r="C13" s="48"/>
      <c r="D13" s="48"/>
      <c r="E13" s="48"/>
      <c r="F13" s="49"/>
      <c r="G13" s="1"/>
      <c r="H13" s="1"/>
      <c r="I13" s="1"/>
      <c r="J13" s="1"/>
      <c r="K13" s="1"/>
      <c r="L13" s="1"/>
      <c r="M13" s="9"/>
      <c r="N13" s="1"/>
      <c r="O13" s="1"/>
      <c r="P13" s="1"/>
    </row>
    <row r="14" spans="1:16" s="5" customFormat="1" ht="15.95" customHeight="1" x14ac:dyDescent="0.25">
      <c r="A14" s="1"/>
      <c r="B14" s="12"/>
      <c r="C14" s="48"/>
      <c r="D14" s="48"/>
      <c r="E14" s="48"/>
      <c r="F14" s="49"/>
      <c r="G14" s="1"/>
      <c r="H14" s="1"/>
      <c r="I14" s="1"/>
      <c r="J14" s="1"/>
      <c r="K14" s="1"/>
      <c r="L14" s="1"/>
      <c r="M14" s="9"/>
      <c r="N14" s="1"/>
      <c r="O14" s="1"/>
      <c r="P14" s="1"/>
    </row>
    <row r="15" spans="1:16" s="5" customFormat="1" ht="15.95" customHeight="1" x14ac:dyDescent="0.25">
      <c r="A15" s="1"/>
      <c r="B15" s="12"/>
      <c r="C15" s="48"/>
      <c r="D15" s="48"/>
      <c r="E15" s="48"/>
      <c r="F15" s="49"/>
      <c r="G15" s="1"/>
      <c r="H15" s="1"/>
      <c r="I15" s="1"/>
      <c r="J15" s="1"/>
      <c r="K15" s="1"/>
      <c r="L15" s="1"/>
      <c r="M15" s="9"/>
      <c r="N15" s="1"/>
      <c r="O15" s="1"/>
      <c r="P15" s="1"/>
    </row>
    <row r="16" spans="1:16" s="5" customFormat="1" ht="15.95" customHeight="1" x14ac:dyDescent="0.25">
      <c r="A16" s="1"/>
      <c r="B16" s="12"/>
      <c r="C16" s="10"/>
      <c r="D16" s="10"/>
      <c r="E16" s="10"/>
      <c r="F16" s="1"/>
      <c r="G16" s="11"/>
      <c r="H16" s="11"/>
      <c r="I16" s="1"/>
      <c r="J16" s="1"/>
      <c r="K16" s="1"/>
      <c r="L16" s="1"/>
      <c r="M16" s="9"/>
      <c r="N16" s="1"/>
      <c r="O16" s="1"/>
      <c r="P16" s="1"/>
    </row>
    <row r="17" spans="1:16" s="5" customFormat="1" ht="15.95" customHeight="1" x14ac:dyDescent="0.25">
      <c r="A17" s="1"/>
      <c r="B17" s="12"/>
      <c r="C17" s="1"/>
      <c r="D17" s="1"/>
      <c r="E17" s="1"/>
      <c r="F17" s="46"/>
      <c r="G17" s="11"/>
      <c r="H17" s="11"/>
      <c r="I17" s="1"/>
      <c r="J17" s="1"/>
      <c r="K17" s="1"/>
      <c r="L17" s="1"/>
      <c r="M17" s="9"/>
      <c r="N17" s="1"/>
      <c r="O17" s="1"/>
      <c r="P17" s="1"/>
    </row>
    <row r="18" spans="1:16" s="5" customFormat="1" ht="15.95" customHeight="1" x14ac:dyDescent="0.25">
      <c r="A18" s="1"/>
      <c r="B18" s="12"/>
      <c r="C18" s="1"/>
      <c r="D18" s="1"/>
      <c r="E18" s="1"/>
      <c r="F18" s="46"/>
      <c r="G18" s="11"/>
      <c r="H18" s="11"/>
      <c r="I18" s="1"/>
      <c r="J18" s="1"/>
      <c r="K18" s="1"/>
      <c r="L18" s="1"/>
      <c r="M18" s="9"/>
      <c r="N18" s="1"/>
      <c r="O18" s="1"/>
      <c r="P18" s="1"/>
    </row>
    <row r="19" spans="1:16" s="5" customFormat="1" ht="15.95" customHeight="1" x14ac:dyDescent="0.25">
      <c r="A19" s="1"/>
      <c r="B19" s="12"/>
      <c r="C19" s="1"/>
      <c r="D19" s="1"/>
      <c r="E19" s="1"/>
      <c r="F19" s="46"/>
      <c r="G19" s="11"/>
      <c r="H19" s="11"/>
      <c r="I19" s="1"/>
      <c r="J19" s="1"/>
      <c r="K19" s="1"/>
      <c r="L19" s="1"/>
      <c r="M19" s="9"/>
      <c r="N19" s="1"/>
      <c r="O19" s="1"/>
      <c r="P19" s="1"/>
    </row>
    <row r="20" spans="1:16" s="5" customFormat="1" ht="15.95" customHeight="1" x14ac:dyDescent="0.25">
      <c r="A20" s="1"/>
      <c r="B20" s="12"/>
      <c r="C20" s="1"/>
      <c r="D20" s="1"/>
      <c r="E20" s="1"/>
      <c r="F20" s="46"/>
      <c r="G20" s="11"/>
      <c r="H20" s="11"/>
      <c r="I20" s="1"/>
      <c r="J20" s="1"/>
      <c r="K20" s="1"/>
      <c r="L20" s="1"/>
      <c r="M20" s="9"/>
      <c r="N20" s="1"/>
      <c r="O20" s="1"/>
      <c r="P20" s="1"/>
    </row>
    <row r="21" spans="1:16" s="5" customFormat="1" ht="15.95" customHeight="1" x14ac:dyDescent="0.25">
      <c r="A21" s="1"/>
      <c r="B21" s="12"/>
      <c r="C21" s="1"/>
      <c r="D21" s="1"/>
      <c r="E21" s="1"/>
      <c r="F21" s="1"/>
      <c r="G21" s="11"/>
      <c r="H21" s="11"/>
      <c r="I21" s="1"/>
      <c r="J21" s="1"/>
      <c r="K21" s="1"/>
      <c r="L21" s="1"/>
      <c r="M21" s="9"/>
      <c r="N21" s="1"/>
      <c r="O21" s="1"/>
      <c r="P21" s="1"/>
    </row>
    <row r="22" spans="1:16" ht="15.95" customHeight="1" x14ac:dyDescent="0.25">
      <c r="B22" s="12"/>
      <c r="M22" s="9"/>
    </row>
    <row r="23" spans="1:16" s="5" customFormat="1" ht="15.95" customHeight="1" x14ac:dyDescent="0.25">
      <c r="A23" s="1"/>
      <c r="B23" s="12"/>
      <c r="C23" s="10"/>
      <c r="D23" s="10"/>
      <c r="E23" s="8"/>
      <c r="F23" s="1"/>
      <c r="G23" s="11"/>
      <c r="H23" s="11"/>
      <c r="I23" s="1"/>
      <c r="J23" s="1"/>
      <c r="K23" s="1"/>
      <c r="L23" s="1"/>
      <c r="M23" s="9"/>
      <c r="N23" s="1"/>
      <c r="O23" s="1"/>
      <c r="P23" s="1"/>
    </row>
    <row r="24" spans="1:16" s="5" customFormat="1" ht="15.95" customHeight="1" x14ac:dyDescent="0.25">
      <c r="A24" s="1"/>
      <c r="B24" s="12"/>
      <c r="C24" s="1"/>
      <c r="D24" s="1"/>
      <c r="E24" s="1"/>
      <c r="F24" s="1"/>
      <c r="G24" s="11"/>
      <c r="H24" s="11"/>
      <c r="I24" s="1"/>
      <c r="J24" s="1"/>
      <c r="K24" s="1"/>
      <c r="L24" s="1"/>
      <c r="M24" s="9"/>
      <c r="N24" s="1"/>
      <c r="O24" s="1"/>
      <c r="P24" s="1"/>
    </row>
    <row r="25" spans="1:16" s="5" customFormat="1" ht="15.95" customHeight="1" x14ac:dyDescent="0.25">
      <c r="A25" s="1"/>
      <c r="B25" s="12"/>
      <c r="C25" s="1"/>
      <c r="D25" s="1"/>
      <c r="E25" s="1"/>
      <c r="F25" s="1"/>
      <c r="G25" s="11"/>
      <c r="H25" s="11"/>
      <c r="I25" s="1"/>
      <c r="J25" s="1"/>
      <c r="K25" s="1"/>
      <c r="L25" s="1"/>
      <c r="M25" s="9"/>
      <c r="N25" s="1"/>
      <c r="O25" s="1"/>
      <c r="P25" s="1"/>
    </row>
    <row r="26" spans="1:16" s="5" customFormat="1" ht="15.95" customHeight="1" x14ac:dyDescent="0.25">
      <c r="A26" s="1"/>
      <c r="B26" s="12"/>
      <c r="C26" s="1"/>
      <c r="D26" s="1"/>
      <c r="E26" s="1"/>
      <c r="F26" s="1"/>
      <c r="G26" s="11"/>
      <c r="H26" s="11"/>
      <c r="I26" s="1"/>
      <c r="J26" s="1"/>
      <c r="K26" s="1"/>
      <c r="L26" s="1"/>
      <c r="M26" s="9"/>
      <c r="N26" s="1"/>
      <c r="O26" s="1"/>
      <c r="P26" s="1"/>
    </row>
    <row r="27" spans="1:16" s="5" customFormat="1" ht="15.95" customHeight="1" x14ac:dyDescent="0.25">
      <c r="A27" s="1"/>
      <c r="B27" s="12"/>
      <c r="C27" s="1"/>
      <c r="D27" s="1"/>
      <c r="E27" s="1"/>
      <c r="F27" s="1"/>
      <c r="G27" s="11"/>
      <c r="H27" s="11"/>
      <c r="I27" s="1"/>
      <c r="J27" s="1"/>
      <c r="K27" s="1"/>
      <c r="L27" s="1"/>
      <c r="M27" s="9"/>
      <c r="N27" s="1"/>
      <c r="O27" s="1"/>
      <c r="P27" s="1"/>
    </row>
    <row r="28" spans="1:16" s="5" customFormat="1" ht="15.95" customHeight="1" x14ac:dyDescent="0.25">
      <c r="A28" s="1"/>
      <c r="B28" s="12"/>
      <c r="C28" s="8"/>
      <c r="D28" s="8"/>
      <c r="E28" s="8"/>
      <c r="F28" s="1"/>
      <c r="G28" s="11"/>
      <c r="H28" s="11"/>
      <c r="I28" s="1"/>
      <c r="J28" s="1"/>
      <c r="K28" s="1"/>
      <c r="L28" s="1"/>
      <c r="M28" s="9"/>
      <c r="N28" s="1"/>
      <c r="O28" s="1"/>
      <c r="P28" s="1"/>
    </row>
    <row r="29" spans="1:16" s="5" customFormat="1" ht="15.95" customHeight="1" x14ac:dyDescent="0.25">
      <c r="A29" s="1"/>
      <c r="B29" s="12"/>
      <c r="C29" s="8"/>
      <c r="D29" s="8"/>
      <c r="E29" s="8"/>
      <c r="F29" s="1"/>
      <c r="G29" s="11"/>
      <c r="H29" s="11"/>
      <c r="I29" s="1"/>
      <c r="J29" s="1"/>
      <c r="K29" s="1"/>
      <c r="L29" s="1"/>
      <c r="M29" s="9"/>
      <c r="N29" s="1"/>
      <c r="O29" s="1"/>
      <c r="P29" s="1"/>
    </row>
    <row r="30" spans="1:16" s="5" customFormat="1" ht="15.95" customHeight="1" x14ac:dyDescent="0.25">
      <c r="A30" s="1"/>
      <c r="B30" s="12"/>
      <c r="C30" s="1"/>
      <c r="D30" s="1"/>
      <c r="E30" s="1"/>
      <c r="F30" s="1"/>
      <c r="G30" s="20"/>
      <c r="H30" s="20"/>
      <c r="I30" s="1"/>
      <c r="J30" s="1"/>
      <c r="K30" s="1"/>
      <c r="L30" s="1"/>
      <c r="M30" s="9"/>
      <c r="N30" s="1"/>
      <c r="O30" s="1"/>
      <c r="P30" s="1"/>
    </row>
    <row r="31" spans="1:16" s="5" customFormat="1" ht="15.95" customHeight="1" x14ac:dyDescent="0.25">
      <c r="A31" s="1"/>
      <c r="B31" s="12"/>
      <c r="C31" s="8"/>
      <c r="D31" s="8"/>
      <c r="E31" s="8"/>
      <c r="F31" s="1"/>
      <c r="G31" s="11"/>
      <c r="H31" s="11"/>
      <c r="I31" s="1"/>
      <c r="J31" s="1"/>
      <c r="K31" s="1"/>
      <c r="L31" s="1"/>
      <c r="M31" s="9"/>
      <c r="N31" s="1"/>
      <c r="O31" s="1"/>
      <c r="P31" s="1"/>
    </row>
    <row r="32" spans="1:16" s="5" customFormat="1" ht="15.95" customHeight="1" x14ac:dyDescent="0.25">
      <c r="A32" s="1"/>
      <c r="B32" s="12"/>
      <c r="C32" s="1"/>
      <c r="D32" s="1"/>
      <c r="E32" s="1"/>
      <c r="F32" s="21"/>
      <c r="G32" s="11"/>
      <c r="H32" s="11"/>
      <c r="I32" s="1"/>
      <c r="J32" s="1"/>
      <c r="K32" s="1"/>
      <c r="L32" s="1"/>
      <c r="M32" s="9"/>
      <c r="N32" s="1"/>
      <c r="O32" s="1"/>
      <c r="P32" s="1"/>
    </row>
    <row r="33" spans="1:16" s="5" customFormat="1" ht="15.95" customHeight="1" x14ac:dyDescent="0.25">
      <c r="A33" s="1"/>
      <c r="B33" s="12"/>
      <c r="C33" s="8"/>
      <c r="D33" s="8"/>
      <c r="E33" s="8"/>
      <c r="F33" s="1"/>
      <c r="G33" s="11"/>
      <c r="H33" s="11"/>
      <c r="I33" s="1"/>
      <c r="J33" s="1"/>
      <c r="K33" s="1"/>
      <c r="L33" s="1"/>
      <c r="M33" s="9"/>
      <c r="N33" s="1"/>
      <c r="O33" s="1"/>
      <c r="P33" s="1"/>
    </row>
    <row r="34" spans="1:16" s="5" customFormat="1" ht="15.95" customHeight="1" x14ac:dyDescent="0.25">
      <c r="A34" s="1"/>
      <c r="B34" s="12"/>
      <c r="C34" s="1"/>
      <c r="D34" s="1"/>
      <c r="E34" s="1"/>
      <c r="F34" s="1"/>
      <c r="G34" s="11"/>
      <c r="H34" s="11"/>
      <c r="I34" s="1"/>
      <c r="J34" s="1"/>
      <c r="K34" s="1"/>
      <c r="L34" s="1"/>
      <c r="M34" s="9"/>
      <c r="N34" s="1"/>
      <c r="O34" s="1"/>
      <c r="P34" s="1"/>
    </row>
    <row r="35" spans="1:16" s="5" customFormat="1" ht="15.95" customHeight="1" x14ac:dyDescent="0.25">
      <c r="A35" s="1"/>
      <c r="B35" s="12"/>
      <c r="C35" s="1"/>
      <c r="D35" s="1"/>
      <c r="E35" s="1"/>
      <c r="F35" s="1"/>
      <c r="G35" s="11"/>
      <c r="H35" s="11"/>
      <c r="I35" s="1"/>
      <c r="J35" s="1"/>
      <c r="K35" s="1"/>
      <c r="L35" s="1"/>
      <c r="M35" s="9"/>
      <c r="N35" s="1"/>
      <c r="O35" s="1"/>
      <c r="P35" s="1"/>
    </row>
    <row r="36" spans="1:16" s="5" customFormat="1" ht="15.95" customHeight="1" x14ac:dyDescent="0.25">
      <c r="A36" s="1"/>
      <c r="B36" s="12"/>
      <c r="C36" s="1"/>
      <c r="D36" s="1"/>
      <c r="E36" s="1"/>
      <c r="F36" s="1"/>
      <c r="G36" s="11"/>
      <c r="H36" s="11"/>
      <c r="I36" s="1"/>
      <c r="J36" s="1"/>
      <c r="K36" s="1"/>
      <c r="L36" s="1"/>
      <c r="M36" s="9"/>
      <c r="N36" s="1"/>
      <c r="O36" s="1"/>
      <c r="P36" s="1"/>
    </row>
    <row r="37" spans="1:16" s="5" customFormat="1" ht="15.95" customHeight="1" x14ac:dyDescent="0.25">
      <c r="A37" s="1"/>
      <c r="B37" s="12"/>
      <c r="C37" s="1"/>
      <c r="D37" s="1"/>
      <c r="E37" s="1"/>
      <c r="F37" s="1"/>
      <c r="G37" s="11"/>
      <c r="H37" s="11"/>
      <c r="I37" s="1"/>
      <c r="J37" s="1"/>
      <c r="K37" s="1"/>
      <c r="L37" s="1"/>
      <c r="M37" s="9"/>
      <c r="N37" s="1"/>
      <c r="O37" s="1"/>
      <c r="P37" s="1"/>
    </row>
    <row r="38" spans="1:16" s="5" customFormat="1" ht="15.95" customHeight="1" x14ac:dyDescent="0.25">
      <c r="A38" s="1"/>
      <c r="B38" s="12"/>
      <c r="C38" s="1"/>
      <c r="D38" s="1"/>
      <c r="E38" s="1"/>
      <c r="F38" s="1"/>
      <c r="G38" s="20"/>
      <c r="H38" s="20"/>
      <c r="I38" s="1"/>
      <c r="J38" s="1"/>
      <c r="K38" s="1"/>
      <c r="L38" s="1"/>
      <c r="M38" s="9"/>
      <c r="N38" s="1"/>
      <c r="O38" s="1"/>
      <c r="P38" s="1"/>
    </row>
    <row r="39" spans="1:16" s="5" customFormat="1" ht="15.95" customHeight="1" x14ac:dyDescent="0.25">
      <c r="A39" s="1"/>
      <c r="B39" s="12"/>
      <c r="C39" s="1"/>
      <c r="D39" s="1"/>
      <c r="E39" s="1"/>
      <c r="F39" s="1"/>
      <c r="G39" s="20"/>
      <c r="H39" s="20"/>
      <c r="I39" s="1"/>
      <c r="J39" s="1"/>
      <c r="K39" s="1"/>
      <c r="L39" s="1"/>
      <c r="M39" s="9"/>
      <c r="N39" s="1"/>
      <c r="O39" s="1"/>
      <c r="P39" s="1"/>
    </row>
    <row r="40" spans="1:16" s="5" customFormat="1" ht="15.95" customHeight="1" x14ac:dyDescent="0.25">
      <c r="A40" s="1"/>
      <c r="B40" s="12"/>
      <c r="C40" s="1"/>
      <c r="D40" s="1"/>
      <c r="E40" s="1"/>
      <c r="F40" s="1"/>
      <c r="G40" s="20"/>
      <c r="H40" s="20"/>
      <c r="I40" s="1"/>
      <c r="J40" s="1"/>
      <c r="K40" s="1"/>
      <c r="L40" s="1"/>
      <c r="M40" s="9"/>
      <c r="N40" s="1"/>
      <c r="O40" s="1"/>
      <c r="P40" s="1"/>
    </row>
    <row r="41" spans="1:16" s="5" customFormat="1" ht="37.5" customHeight="1" x14ac:dyDescent="0.25">
      <c r="A41" s="1"/>
      <c r="B41" s="12"/>
      <c r="C41" s="1"/>
      <c r="D41" s="1"/>
      <c r="E41" s="1"/>
      <c r="F41" s="1"/>
      <c r="G41" s="1"/>
      <c r="H41" s="1"/>
      <c r="I41" s="1"/>
      <c r="J41" s="1"/>
      <c r="K41" s="59"/>
      <c r="L41" s="59"/>
      <c r="M41" s="9"/>
      <c r="N41" s="1"/>
      <c r="O41" s="1"/>
      <c r="P41" s="1"/>
    </row>
    <row r="42" spans="1:16" s="5" customFormat="1" ht="37.5" customHeight="1" x14ac:dyDescent="0.25">
      <c r="A42" s="1"/>
      <c r="B42" s="12"/>
      <c r="C42" s="1"/>
      <c r="D42" s="1"/>
      <c r="E42" s="1"/>
      <c r="F42" s="1"/>
      <c r="G42" s="1"/>
      <c r="H42" s="1"/>
      <c r="I42" s="1"/>
      <c r="J42" s="1"/>
      <c r="K42" s="59"/>
      <c r="L42" s="59"/>
      <c r="M42" s="9"/>
      <c r="N42" s="1"/>
      <c r="O42" s="1"/>
      <c r="P42" s="1"/>
    </row>
    <row r="43" spans="1:16" s="5" customFormat="1" ht="15" customHeight="1" x14ac:dyDescent="0.25">
      <c r="A43" s="1"/>
      <c r="B43" s="12"/>
      <c r="C43" s="1"/>
      <c r="D43" s="1"/>
      <c r="E43" s="1"/>
      <c r="F43" s="1"/>
      <c r="G43" s="1"/>
      <c r="H43" s="1"/>
      <c r="I43" s="1"/>
      <c r="J43" s="1"/>
      <c r="K43" s="59"/>
      <c r="L43" s="59"/>
      <c r="M43" s="9"/>
      <c r="N43" s="1"/>
      <c r="O43" s="1"/>
      <c r="P43" s="1"/>
    </row>
    <row r="44" spans="1:16" s="5" customFormat="1" ht="15" customHeight="1" x14ac:dyDescent="0.25">
      <c r="A44" s="1"/>
      <c r="B44" s="12"/>
      <c r="C44" s="1"/>
      <c r="D44" s="1"/>
      <c r="E44" s="1"/>
      <c r="F44" s="1"/>
      <c r="G44" s="1"/>
      <c r="H44" s="1"/>
      <c r="I44" s="1"/>
      <c r="J44" s="1"/>
      <c r="K44" s="1"/>
      <c r="L44" s="1"/>
      <c r="M44" s="9"/>
      <c r="N44" s="1"/>
      <c r="O44" s="1"/>
      <c r="P44" s="1"/>
    </row>
    <row r="45" spans="1:16" s="5" customFormat="1" ht="15" customHeight="1" x14ac:dyDescent="0.25">
      <c r="A45" s="1"/>
      <c r="B45" s="12"/>
      <c r="C45" s="1"/>
      <c r="D45" s="1"/>
      <c r="E45" s="1"/>
      <c r="F45" s="1"/>
      <c r="G45" s="1"/>
      <c r="H45" s="1"/>
      <c r="I45" s="1"/>
      <c r="J45" s="1"/>
      <c r="K45" s="1"/>
      <c r="L45" s="1"/>
      <c r="M45" s="9"/>
      <c r="N45" s="1"/>
      <c r="O45" s="1"/>
      <c r="P45" s="1"/>
    </row>
    <row r="46" spans="1:16" s="5" customFormat="1" ht="15.75" customHeight="1" x14ac:dyDescent="0.25">
      <c r="A46" s="1"/>
      <c r="B46" s="12"/>
      <c r="C46" s="1"/>
      <c r="D46" s="104"/>
      <c r="E46" s="104"/>
      <c r="F46" s="104"/>
      <c r="G46" s="104"/>
      <c r="H46" s="104"/>
      <c r="I46" s="104"/>
      <c r="J46" s="104"/>
      <c r="K46" s="104"/>
      <c r="L46" s="59"/>
      <c r="M46" s="9"/>
      <c r="N46" s="1"/>
      <c r="O46" s="1"/>
      <c r="P46" s="1"/>
    </row>
    <row r="47" spans="1:16" s="5" customFormat="1" ht="15.75" customHeight="1" x14ac:dyDescent="0.25">
      <c r="A47" s="1"/>
      <c r="B47" s="12"/>
      <c r="C47" s="1"/>
      <c r="D47" s="175" t="s">
        <v>3</v>
      </c>
      <c r="E47" s="126"/>
      <c r="F47" s="126"/>
      <c r="G47" s="126"/>
      <c r="H47" s="186" t="s">
        <v>4</v>
      </c>
      <c r="I47" s="186"/>
      <c r="J47" s="126"/>
      <c r="L47" s="143"/>
      <c r="M47" s="9"/>
      <c r="N47" s="1"/>
      <c r="O47" s="1"/>
      <c r="P47" s="1"/>
    </row>
    <row r="48" spans="1:16" s="5" customFormat="1" ht="15.75" customHeight="1" x14ac:dyDescent="0.25">
      <c r="A48" s="1"/>
      <c r="B48" s="12"/>
      <c r="C48" s="1"/>
      <c r="D48" s="156" t="str">
        <f>Prisberegner!C114</f>
        <v>Ved tilslutning (år 1)</v>
      </c>
      <c r="E48" s="123"/>
      <c r="F48" s="123"/>
      <c r="G48" s="123"/>
      <c r="H48" s="157">
        <f>Prisberegner!E114</f>
        <v>1793.1110526987432</v>
      </c>
      <c r="I48" s="123"/>
      <c r="J48" s="123"/>
      <c r="K48" s="185" t="s">
        <v>5</v>
      </c>
      <c r="L48" s="185"/>
      <c r="M48" s="9"/>
      <c r="N48" s="1"/>
      <c r="O48" s="1"/>
      <c r="P48" s="1"/>
    </row>
    <row r="49" spans="1:16" s="5" customFormat="1" ht="15.95" customHeight="1" x14ac:dyDescent="0.25">
      <c r="A49" s="1"/>
      <c r="B49" s="12"/>
      <c r="C49" s="1"/>
      <c r="D49" s="156" t="str">
        <f ca="1">Prisberegner!C115</f>
        <v xml:space="preserve">   Efter investering i ny gaskedel om 2 år</v>
      </c>
      <c r="E49" s="123"/>
      <c r="F49" s="123"/>
      <c r="G49" s="123"/>
      <c r="H49" s="157">
        <f ca="1">Prisberegner!E115</f>
        <v>4601.6016043729396</v>
      </c>
      <c r="I49" s="123"/>
      <c r="J49" s="125"/>
      <c r="K49" s="185"/>
      <c r="L49" s="185"/>
      <c r="M49" s="9"/>
      <c r="N49" s="1"/>
      <c r="O49" s="1"/>
      <c r="P49" s="1"/>
    </row>
    <row r="50" spans="1:16" s="5" customFormat="1" ht="15.95" customHeight="1" x14ac:dyDescent="0.25">
      <c r="A50" s="1"/>
      <c r="B50" s="12"/>
      <c r="C50" s="1"/>
      <c r="D50" s="156" t="str">
        <f ca="1">Prisberegner!C116</f>
        <v xml:space="preserve">      Efter afskrevne tilslutningsbidrag om 30 år</v>
      </c>
      <c r="E50" s="123"/>
      <c r="F50" s="123"/>
      <c r="G50" s="123"/>
      <c r="H50" s="157">
        <f ca="1">Prisberegner!E116</f>
        <v>10452.399786569629</v>
      </c>
      <c r="I50" s="123"/>
      <c r="J50" s="125"/>
      <c r="K50" s="185"/>
      <c r="L50" s="185"/>
      <c r="M50" s="9"/>
      <c r="N50" s="1"/>
      <c r="O50" s="1"/>
      <c r="P50" s="1"/>
    </row>
    <row r="51" spans="1:16" s="5" customFormat="1" ht="15.95" customHeight="1" x14ac:dyDescent="0.25">
      <c r="A51" s="1"/>
      <c r="B51" s="12"/>
      <c r="C51" s="1"/>
      <c r="D51" s="156" t="str">
        <f ca="1">Prisberegner!C117</f>
        <v xml:space="preserve">         Efter levetidsforlængelse eller ny unit om 30 år</v>
      </c>
      <c r="E51" s="123"/>
      <c r="F51" s="123"/>
      <c r="G51" s="123"/>
      <c r="H51" s="157">
        <f ca="1">Prisberegner!E117</f>
        <v>10452.399786569629</v>
      </c>
      <c r="I51" s="123"/>
      <c r="J51" s="125"/>
      <c r="K51" s="185"/>
      <c r="L51" s="185"/>
      <c r="M51" s="9"/>
      <c r="N51" s="1"/>
      <c r="O51" s="1"/>
      <c r="P51" s="1"/>
    </row>
    <row r="52" spans="1:16" s="5" customFormat="1" ht="15.95" customHeight="1" x14ac:dyDescent="0.25">
      <c r="A52" s="1"/>
      <c r="B52" s="12"/>
      <c r="C52" s="1"/>
      <c r="D52" s="156" t="str">
        <f ca="1">Prisberegner!C118</f>
        <v xml:space="preserve">            </v>
      </c>
      <c r="E52" s="123"/>
      <c r="F52" s="123"/>
      <c r="G52" s="123"/>
      <c r="H52" s="157" t="str">
        <f ca="1">Prisberegner!E118</f>
        <v/>
      </c>
      <c r="I52" s="123"/>
      <c r="J52" s="125"/>
      <c r="K52" s="185"/>
      <c r="L52" s="185"/>
      <c r="M52" s="9"/>
      <c r="N52" s="1"/>
      <c r="O52" s="1"/>
      <c r="P52" s="1"/>
    </row>
    <row r="53" spans="1:16" s="5" customFormat="1" ht="15.95" customHeight="1" x14ac:dyDescent="0.25">
      <c r="A53" s="1"/>
      <c r="B53" s="12"/>
      <c r="C53" s="56"/>
      <c r="D53" s="1"/>
      <c r="E53" s="1"/>
      <c r="F53" s="1"/>
      <c r="G53" s="1"/>
      <c r="H53" s="1"/>
      <c r="I53" s="1"/>
      <c r="J53" s="122"/>
      <c r="K53" s="143"/>
      <c r="L53" s="143"/>
      <c r="M53" s="9"/>
      <c r="N53" s="1"/>
      <c r="O53" s="1"/>
      <c r="P53" s="1"/>
    </row>
    <row r="54" spans="1:16" s="5" customFormat="1" ht="15.95" customHeight="1" x14ac:dyDescent="0.25">
      <c r="A54" s="1"/>
      <c r="B54" s="12"/>
      <c r="C54" s="56"/>
      <c r="D54" s="175" t="s">
        <v>6</v>
      </c>
      <c r="E54" s="123"/>
      <c r="F54" s="123"/>
      <c r="G54" s="123"/>
      <c r="H54" s="123"/>
      <c r="I54" s="123"/>
      <c r="J54" s="125"/>
      <c r="K54" s="143"/>
      <c r="L54" s="143"/>
      <c r="M54" s="9"/>
      <c r="N54" s="1"/>
      <c r="O54" s="1"/>
      <c r="P54" s="1"/>
    </row>
    <row r="55" spans="1:16" s="5" customFormat="1" ht="15.95" customHeight="1" x14ac:dyDescent="0.25">
      <c r="A55" s="1"/>
      <c r="B55" s="12"/>
      <c r="C55" s="57"/>
      <c r="D55" s="123" t="s">
        <v>7</v>
      </c>
      <c r="E55" s="123"/>
      <c r="F55" s="126"/>
      <c r="G55" s="126"/>
      <c r="H55" s="158">
        <f>Prisberegner!E120</f>
        <v>3419.3969297056574</v>
      </c>
      <c r="I55" s="123" t="s">
        <v>8</v>
      </c>
      <c r="J55" s="126"/>
      <c r="K55" s="185" t="s">
        <v>9</v>
      </c>
      <c r="L55" s="185"/>
      <c r="M55" s="9"/>
      <c r="N55" s="1"/>
      <c r="O55" s="1"/>
      <c r="P55" s="1"/>
    </row>
    <row r="56" spans="1:16" s="5" customFormat="1" ht="15.95" customHeight="1" x14ac:dyDescent="0.25">
      <c r="A56" s="1"/>
      <c r="B56" s="12"/>
      <c r="C56" s="57"/>
      <c r="D56" s="123" t="s">
        <v>10</v>
      </c>
      <c r="E56" s="123"/>
      <c r="F56" s="126"/>
      <c r="G56" s="126"/>
      <c r="H56" s="158">
        <f>Prisberegner!E99+Prisberegner!E93</f>
        <v>25000</v>
      </c>
      <c r="I56" s="123" t="s">
        <v>11</v>
      </c>
      <c r="J56" s="126"/>
      <c r="K56" s="185"/>
      <c r="L56" s="185"/>
      <c r="M56" s="9"/>
      <c r="N56" s="1"/>
      <c r="O56" s="1"/>
      <c r="P56" s="1"/>
    </row>
    <row r="57" spans="1:16" s="5" customFormat="1" ht="15.95" customHeight="1" x14ac:dyDescent="0.25">
      <c r="A57" s="1"/>
      <c r="B57" s="12"/>
      <c r="C57" s="56"/>
      <c r="D57" s="123" t="s">
        <v>12</v>
      </c>
      <c r="E57" s="123"/>
      <c r="F57" s="126"/>
      <c r="G57" s="126"/>
      <c r="H57" s="159">
        <f>Prisberegner!E122</f>
        <v>7.3112307561649494</v>
      </c>
      <c r="I57" s="127" t="s">
        <v>13</v>
      </c>
      <c r="J57" s="126"/>
      <c r="K57" s="185"/>
      <c r="L57" s="185"/>
      <c r="M57" s="9"/>
      <c r="N57" s="1"/>
      <c r="O57" s="1"/>
      <c r="P57" s="1"/>
    </row>
    <row r="58" spans="1:16" s="5" customFormat="1" ht="15.95" customHeight="1" x14ac:dyDescent="0.25">
      <c r="A58" s="1"/>
      <c r="B58" s="12"/>
      <c r="C58" s="56"/>
      <c r="D58" s="124" t="str">
        <f>"-&gt; Med indregnet investering i ny gaskedel på "&amp;Prisberegner!E51&amp;" kr."</f>
        <v>-&gt; Med indregnet investering i ny gaskedel på 35000 kr.</v>
      </c>
      <c r="E58" s="123"/>
      <c r="F58" s="126"/>
      <c r="G58" s="126"/>
      <c r="H58" s="159" t="str">
        <f>Prisberegner!E123</f>
        <v>Tjent hjem fra start. 0</v>
      </c>
      <c r="I58" s="127" t="s">
        <v>13</v>
      </c>
      <c r="J58" s="126"/>
      <c r="K58" s="172"/>
      <c r="L58" s="172"/>
      <c r="M58" s="9"/>
      <c r="N58" s="1"/>
      <c r="O58" s="1"/>
      <c r="P58" s="1"/>
    </row>
    <row r="59" spans="1:16" s="5" customFormat="1" ht="15.95" customHeight="1" thickBot="1" x14ac:dyDescent="0.3">
      <c r="A59" s="1"/>
      <c r="B59" s="34"/>
      <c r="C59" s="88"/>
      <c r="D59" s="35"/>
      <c r="E59" s="35"/>
      <c r="F59" s="36"/>
      <c r="G59" s="35"/>
      <c r="H59" s="35"/>
      <c r="I59" s="89"/>
      <c r="J59" s="35"/>
      <c r="K59" s="88"/>
      <c r="L59" s="88"/>
      <c r="M59" s="37"/>
      <c r="N59" s="1"/>
      <c r="O59" s="1"/>
      <c r="P59" s="1"/>
    </row>
    <row r="60" spans="1:16" s="5" customFormat="1" ht="15.95" customHeight="1" x14ac:dyDescent="0.25">
      <c r="A60" s="1"/>
      <c r="B60" s="1"/>
      <c r="C60" s="56"/>
      <c r="D60" s="19"/>
      <c r="E60" s="1"/>
      <c r="F60" s="19"/>
      <c r="G60" s="1"/>
      <c r="H60" s="1"/>
      <c r="I60" s="62"/>
      <c r="J60" s="1"/>
      <c r="K60" s="56"/>
      <c r="L60" s="56"/>
      <c r="M60" s="1"/>
      <c r="N60" s="1"/>
      <c r="O60" s="1"/>
      <c r="P60" s="1"/>
    </row>
    <row r="61" spans="1:16" s="5" customFormat="1" ht="15.95" customHeight="1" x14ac:dyDescent="0.25">
      <c r="A61" s="1"/>
      <c r="B61" s="1"/>
      <c r="C61" s="56"/>
      <c r="D61" s="56"/>
      <c r="E61" s="56"/>
      <c r="F61" s="56"/>
      <c r="G61" s="56"/>
      <c r="H61" s="56"/>
      <c r="I61" s="56"/>
      <c r="J61" s="56"/>
      <c r="K61" s="56"/>
      <c r="L61" s="56"/>
      <c r="M61" s="1"/>
      <c r="N61" s="1"/>
      <c r="O61" s="1"/>
      <c r="P61" s="1"/>
    </row>
    <row r="62" spans="1:16" s="5" customFormat="1" ht="15.95" customHeight="1" x14ac:dyDescent="0.25">
      <c r="A62" s="1"/>
      <c r="B62" s="1"/>
      <c r="C62" s="56"/>
      <c r="D62" s="56"/>
      <c r="E62" s="56"/>
      <c r="F62" s="56"/>
      <c r="G62" s="56"/>
      <c r="H62" s="56"/>
      <c r="I62" s="56"/>
      <c r="J62" s="56"/>
      <c r="K62" s="56"/>
      <c r="L62" s="56"/>
      <c r="M62" s="1"/>
      <c r="N62" s="1"/>
      <c r="O62" s="1"/>
      <c r="P62" s="1"/>
    </row>
    <row r="63" spans="1:16" s="5" customFormat="1" ht="15.95" customHeight="1" x14ac:dyDescent="0.25">
      <c r="A63" s="1"/>
      <c r="B63" s="1"/>
      <c r="C63" s="56"/>
      <c r="D63" s="56"/>
      <c r="E63" s="56"/>
      <c r="F63" s="56"/>
      <c r="G63" s="56"/>
      <c r="H63" s="56"/>
      <c r="I63" s="56"/>
      <c r="J63" s="56"/>
      <c r="K63" s="56"/>
      <c r="L63" s="56"/>
      <c r="M63" s="1"/>
      <c r="N63" s="1"/>
      <c r="O63" s="1"/>
      <c r="P63" s="1"/>
    </row>
    <row r="64" spans="1:16" ht="15.75" x14ac:dyDescent="0.25">
      <c r="C64" s="56"/>
      <c r="D64" s="56"/>
      <c r="E64" s="56"/>
      <c r="F64" s="56"/>
      <c r="G64" s="56"/>
      <c r="H64" s="56"/>
      <c r="I64" s="56"/>
      <c r="J64" s="56"/>
      <c r="K64" s="56"/>
      <c r="L64" s="56"/>
    </row>
    <row r="65" spans="3:12" ht="15.75" x14ac:dyDescent="0.25">
      <c r="C65" s="56"/>
      <c r="D65" s="56"/>
      <c r="E65" s="56"/>
      <c r="F65" s="56"/>
      <c r="G65" s="56"/>
      <c r="H65" s="56"/>
      <c r="I65" s="56"/>
      <c r="J65" s="56"/>
      <c r="K65" s="56"/>
      <c r="L65" s="56"/>
    </row>
    <row r="66" spans="3:12" ht="15.75" x14ac:dyDescent="0.25">
      <c r="C66" s="56"/>
      <c r="D66" s="56"/>
      <c r="E66" s="56"/>
      <c r="F66" s="56"/>
      <c r="G66" s="56"/>
      <c r="H66" s="56"/>
      <c r="I66" s="56"/>
      <c r="J66" s="56"/>
      <c r="K66" s="56"/>
      <c r="L66" s="56"/>
    </row>
    <row r="67" spans="3:12" ht="15.75" x14ac:dyDescent="0.25">
      <c r="C67" s="56"/>
      <c r="D67" s="56"/>
      <c r="E67" s="56"/>
      <c r="F67" s="56"/>
      <c r="G67" s="56"/>
      <c r="H67" s="56"/>
      <c r="I67" s="56"/>
      <c r="J67" s="56"/>
      <c r="K67" s="56"/>
      <c r="L67" s="56"/>
    </row>
    <row r="68" spans="3:12" ht="15.75" x14ac:dyDescent="0.25">
      <c r="C68" s="56"/>
      <c r="D68" s="56"/>
      <c r="E68" s="56"/>
      <c r="F68" s="56"/>
      <c r="G68" s="56"/>
      <c r="H68" s="56"/>
      <c r="I68" s="56"/>
      <c r="J68" s="56"/>
      <c r="K68" s="56"/>
      <c r="L68" s="56"/>
    </row>
    <row r="69" spans="3:12" ht="15.75" x14ac:dyDescent="0.25">
      <c r="C69" s="56"/>
      <c r="D69" s="56"/>
      <c r="E69" s="56"/>
      <c r="F69" s="56"/>
      <c r="G69" s="56"/>
      <c r="H69" s="56"/>
      <c r="I69" s="56"/>
      <c r="J69" s="56"/>
      <c r="K69" s="56"/>
      <c r="L69" s="56"/>
    </row>
    <row r="70" spans="3:12" ht="15.75" x14ac:dyDescent="0.25">
      <c r="C70" s="56"/>
      <c r="D70" s="56"/>
      <c r="E70" s="56"/>
      <c r="F70" s="56"/>
      <c r="G70" s="56"/>
      <c r="H70" s="56"/>
      <c r="I70" s="56"/>
      <c r="J70" s="56"/>
      <c r="K70" s="56"/>
      <c r="L70" s="56"/>
    </row>
    <row r="71" spans="3:12" ht="15.75" x14ac:dyDescent="0.25">
      <c r="C71" s="56"/>
      <c r="D71" s="56"/>
      <c r="E71" s="56"/>
      <c r="F71" s="56"/>
      <c r="G71" s="56"/>
      <c r="H71" s="56"/>
      <c r="I71" s="56"/>
      <c r="J71" s="56"/>
      <c r="K71" s="56"/>
      <c r="L71" s="56"/>
    </row>
    <row r="72" spans="3:12" ht="15.75" x14ac:dyDescent="0.25">
      <c r="C72" s="56"/>
      <c r="E72" s="56"/>
      <c r="F72" s="56"/>
      <c r="G72" s="56"/>
      <c r="H72" s="56"/>
      <c r="I72" s="56"/>
      <c r="J72" s="56"/>
      <c r="K72" s="56"/>
      <c r="L72" s="56"/>
    </row>
    <row r="73" spans="3:12" ht="15.75" x14ac:dyDescent="0.25"/>
    <row r="74" spans="3:12" ht="15.75" x14ac:dyDescent="0.25"/>
    <row r="75" spans="3:12" ht="15.75" x14ac:dyDescent="0.25"/>
    <row r="76" spans="3:12" ht="15.75" x14ac:dyDescent="0.25"/>
    <row r="77" spans="3:12" ht="15.75" x14ac:dyDescent="0.25"/>
    <row r="78" spans="3:12" ht="15.75" x14ac:dyDescent="0.25">
      <c r="F78" s="62"/>
    </row>
    <row r="79" spans="3:12" ht="15.75" x14ac:dyDescent="0.25"/>
    <row r="80" spans="3:12" ht="15.75" x14ac:dyDescent="0.25"/>
    <row r="81" ht="15.75" x14ac:dyDescent="0.25"/>
    <row r="82" ht="15.75" x14ac:dyDescent="0.25"/>
    <row r="83" ht="15.75" x14ac:dyDescent="0.25"/>
    <row r="84" ht="15.75" x14ac:dyDescent="0.25"/>
    <row r="85" ht="15.75" x14ac:dyDescent="0.25"/>
    <row r="86" ht="15.75" x14ac:dyDescent="0.25"/>
    <row r="87" ht="15.75" x14ac:dyDescent="0.25"/>
    <row r="88" ht="15.75" x14ac:dyDescent="0.25"/>
    <row r="89" ht="15.75" x14ac:dyDescent="0.25"/>
    <row r="90" ht="15.75" x14ac:dyDescent="0.25"/>
    <row r="91" ht="15.75" x14ac:dyDescent="0.25"/>
    <row r="92" ht="15.75" x14ac:dyDescent="0.25"/>
    <row r="93" ht="15.75" x14ac:dyDescent="0.25"/>
    <row r="94" ht="15.75" x14ac:dyDescent="0.25"/>
    <row r="95" ht="15.75" x14ac:dyDescent="0.25"/>
    <row r="96" ht="15.75" x14ac:dyDescent="0.25"/>
    <row r="97" ht="15.75" x14ac:dyDescent="0.25"/>
    <row r="98" ht="15.75" x14ac:dyDescent="0.25"/>
    <row r="99" ht="15.75" x14ac:dyDescent="0.25"/>
    <row r="100" ht="15.75" x14ac:dyDescent="0.25"/>
    <row r="101" ht="15.75" x14ac:dyDescent="0.25"/>
    <row r="102" ht="15.75" x14ac:dyDescent="0.25"/>
    <row r="103" ht="15.75" x14ac:dyDescent="0.25"/>
    <row r="104" ht="15.75" x14ac:dyDescent="0.25"/>
    <row r="105" ht="15.75" x14ac:dyDescent="0.25"/>
    <row r="106" ht="15.75" x14ac:dyDescent="0.25"/>
    <row r="107" ht="15.75" x14ac:dyDescent="0.25"/>
    <row r="108" ht="15.75" x14ac:dyDescent="0.25"/>
    <row r="109" ht="15.75" x14ac:dyDescent="0.25"/>
    <row r="110" ht="15.75" x14ac:dyDescent="0.25"/>
    <row r="111" ht="15.75" x14ac:dyDescent="0.25"/>
    <row r="112" ht="15.75" x14ac:dyDescent="0.25"/>
    <row r="113" ht="15.75" x14ac:dyDescent="0.25"/>
    <row r="114" ht="15.75" x14ac:dyDescent="0.25"/>
    <row r="115" ht="15.75" x14ac:dyDescent="0.25"/>
    <row r="116" ht="15.75" x14ac:dyDescent="0.25"/>
    <row r="117" ht="15.75" x14ac:dyDescent="0.25"/>
    <row r="118" ht="15.75" x14ac:dyDescent="0.25"/>
    <row r="119" ht="15.75" x14ac:dyDescent="0.25"/>
    <row r="120" ht="15.75" x14ac:dyDescent="0.25"/>
    <row r="121" ht="15.75" x14ac:dyDescent="0.25"/>
    <row r="122" ht="15.75" x14ac:dyDescent="0.25"/>
    <row r="123" ht="15.75" x14ac:dyDescent="0.25"/>
    <row r="124" ht="15.75" x14ac:dyDescent="0.25"/>
    <row r="125" ht="15.75" x14ac:dyDescent="0.25"/>
    <row r="126" ht="15.75" x14ac:dyDescent="0.25"/>
    <row r="127" ht="15.75" x14ac:dyDescent="0.25"/>
    <row r="128" ht="15.75" x14ac:dyDescent="0.25"/>
    <row r="129" ht="15.75" x14ac:dyDescent="0.25"/>
    <row r="130" ht="15.75" x14ac:dyDescent="0.25"/>
    <row r="131" ht="15.75" x14ac:dyDescent="0.25"/>
    <row r="132" ht="15.75" x14ac:dyDescent="0.25"/>
    <row r="133" ht="15.75" x14ac:dyDescent="0.25"/>
    <row r="134" ht="15.75" x14ac:dyDescent="0.25"/>
    <row r="135" ht="15.75" x14ac:dyDescent="0.25"/>
    <row r="136" ht="15.75" x14ac:dyDescent="0.25"/>
    <row r="137" ht="15.75" x14ac:dyDescent="0.25"/>
    <row r="138" ht="15.75" x14ac:dyDescent="0.25"/>
    <row r="139" ht="15.75" x14ac:dyDescent="0.25"/>
    <row r="140" ht="15.75" x14ac:dyDescent="0.25"/>
    <row r="141" ht="15.75" x14ac:dyDescent="0.25"/>
    <row r="142" ht="15.75" x14ac:dyDescent="0.25"/>
    <row r="143" ht="15.75" x14ac:dyDescent="0.25"/>
    <row r="144" ht="15.75" x14ac:dyDescent="0.25"/>
    <row r="145" ht="15.75" x14ac:dyDescent="0.25"/>
    <row r="146" ht="15.75" x14ac:dyDescent="0.25"/>
    <row r="147" ht="15.75" x14ac:dyDescent="0.25"/>
    <row r="148" ht="15.75" x14ac:dyDescent="0.25"/>
    <row r="149" ht="15.75" x14ac:dyDescent="0.25"/>
    <row r="150" ht="15.75" x14ac:dyDescent="0.25"/>
    <row r="151" ht="15.75" x14ac:dyDescent="0.25"/>
    <row r="152" ht="15.75" x14ac:dyDescent="0.25"/>
    <row r="153" ht="15.75" x14ac:dyDescent="0.25"/>
    <row r="154" ht="15.75" x14ac:dyDescent="0.25"/>
    <row r="155" ht="15.75" x14ac:dyDescent="0.25"/>
    <row r="156" ht="15.75" x14ac:dyDescent="0.25"/>
    <row r="157" ht="15.75" x14ac:dyDescent="0.25"/>
    <row r="158" ht="15.75" x14ac:dyDescent="0.25"/>
    <row r="159" ht="15.75" x14ac:dyDescent="0.25"/>
    <row r="160" ht="15.75" x14ac:dyDescent="0.25"/>
    <row r="161" ht="15.75" x14ac:dyDescent="0.25"/>
    <row r="162" ht="15.75" x14ac:dyDescent="0.25"/>
    <row r="163" ht="15.75" x14ac:dyDescent="0.25"/>
    <row r="164" ht="15.75" x14ac:dyDescent="0.25"/>
    <row r="165" ht="15.75" x14ac:dyDescent="0.25"/>
    <row r="166" ht="15.75" x14ac:dyDescent="0.25"/>
    <row r="167" ht="15.75" x14ac:dyDescent="0.25"/>
    <row r="168" ht="15.75" x14ac:dyDescent="0.25"/>
    <row r="169" ht="15.75" x14ac:dyDescent="0.25"/>
    <row r="170" ht="15.75" x14ac:dyDescent="0.25"/>
    <row r="171" ht="15.75" x14ac:dyDescent="0.25"/>
    <row r="172" ht="15.75" x14ac:dyDescent="0.25"/>
    <row r="173" ht="15.75" x14ac:dyDescent="0.25"/>
    <row r="174" ht="15.75" x14ac:dyDescent="0.25"/>
    <row r="175" ht="15.75" x14ac:dyDescent="0.25"/>
    <row r="176"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row r="196" ht="15.75" x14ac:dyDescent="0.25"/>
    <row r="197" ht="15.75" x14ac:dyDescent="0.25"/>
    <row r="198" ht="15.75" x14ac:dyDescent="0.25"/>
    <row r="199" ht="15.75" x14ac:dyDescent="0.25"/>
    <row r="200" ht="15.75" x14ac:dyDescent="0.25"/>
    <row r="201" ht="15.75" x14ac:dyDescent="0.25"/>
    <row r="202" ht="15.75" x14ac:dyDescent="0.25"/>
    <row r="203" ht="15.75" x14ac:dyDescent="0.25"/>
    <row r="204" ht="15.75" x14ac:dyDescent="0.25"/>
    <row r="205" ht="15.75" x14ac:dyDescent="0.25"/>
    <row r="206" ht="15.75" x14ac:dyDescent="0.25"/>
  </sheetData>
  <sheetProtection algorithmName="SHA-512" hashValue="lHwqo209WhneggcIrLPn6jJMPE64p95fRmG4rTDRz0UwgEwgRh5jCXqvrKCtZjkJV6IzotN9pmvEPm72z5QKoA==" saltValue="p97NhRQ/fRGwnCbvW8UHMw==" spinCount="100000" sheet="1" objects="1" scenarios="1"/>
  <protectedRanges>
    <protectedRange sqref="C4" name="Navn"/>
  </protectedRanges>
  <mergeCells count="6">
    <mergeCell ref="K55:L57"/>
    <mergeCell ref="H47:I47"/>
    <mergeCell ref="K48:L52"/>
    <mergeCell ref="C3:I3"/>
    <mergeCell ref="C4:K5"/>
    <mergeCell ref="C8:K8"/>
  </mergeCells>
  <dataValidations count="1">
    <dataValidation type="list" allowBlank="1" showInputMessage="1" showErrorMessage="1" sqref="F24" xr:uid="{294BE7FD-07C6-43E7-8D11-E72620AFAFDE}">
      <formula1>#REF!</formula1>
    </dataValidation>
  </dataValidations>
  <pageMargins left="0.7" right="0.7" top="0.75" bottom="0.75" header="0.3" footer="0.3"/>
  <pageSetup paperSize="9" scale="7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448"/>
  <sheetViews>
    <sheetView topLeftCell="A130" zoomScale="110" zoomScaleNormal="110" zoomScaleSheetLayoutView="70" zoomScalePageLayoutView="70" workbookViewId="0">
      <selection activeCell="E139" sqref="E139"/>
    </sheetView>
  </sheetViews>
  <sheetFormatPr defaultColWidth="0" defaultRowHeight="15.75" zeroHeight="1" x14ac:dyDescent="0.25"/>
  <cols>
    <col min="1" max="1" width="2.28515625" style="1" customWidth="1"/>
    <col min="2" max="2" width="1.5703125" style="1" customWidth="1"/>
    <col min="3" max="3" width="41.42578125" style="1" customWidth="1"/>
    <col min="4" max="4" width="11.42578125" style="1" customWidth="1"/>
    <col min="5" max="5" width="10.7109375" style="1" customWidth="1"/>
    <col min="6" max="6" width="14" style="1" customWidth="1"/>
    <col min="7" max="7" width="0.85546875" style="1" customWidth="1"/>
    <col min="8" max="8" width="15.85546875" style="1" customWidth="1"/>
    <col min="9" max="9" width="14.85546875" style="1" customWidth="1"/>
    <col min="10" max="10" width="17.7109375" style="1" customWidth="1"/>
    <col min="11" max="11" width="9.140625" style="1" customWidth="1"/>
    <col min="12" max="14" width="9.140625" style="1" hidden="1" customWidth="1"/>
    <col min="15" max="16384" width="9.140625" style="1" hidden="1"/>
  </cols>
  <sheetData>
    <row r="1" spans="1:15" ht="16.5" thickBot="1" x14ac:dyDescent="0.3"/>
    <row r="2" spans="1:15" s="5" customFormat="1" ht="37.5" customHeight="1" x14ac:dyDescent="0.25">
      <c r="A2" s="1"/>
      <c r="B2" s="2"/>
      <c r="C2" s="3"/>
      <c r="D2" s="3"/>
      <c r="E2" s="3"/>
      <c r="F2" s="3"/>
      <c r="G2" s="3"/>
      <c r="H2" s="3"/>
      <c r="I2" s="3"/>
      <c r="J2" s="4"/>
      <c r="K2" s="1"/>
      <c r="L2" s="1"/>
      <c r="M2" s="1"/>
    </row>
    <row r="3" spans="1:15" s="5" customFormat="1" ht="38.25" customHeight="1" thickBot="1" x14ac:dyDescent="0.3">
      <c r="A3" s="1"/>
      <c r="B3" s="34"/>
      <c r="C3" s="187"/>
      <c r="D3" s="187"/>
      <c r="E3" s="187"/>
      <c r="F3" s="187"/>
      <c r="G3" s="187"/>
      <c r="H3" s="187"/>
      <c r="I3" s="187"/>
      <c r="J3" s="37"/>
      <c r="K3" s="1"/>
      <c r="L3" s="1"/>
      <c r="M3" s="1"/>
    </row>
    <row r="4" spans="1:15" s="5" customFormat="1" ht="15.95" customHeight="1" x14ac:dyDescent="0.25">
      <c r="A4" s="1"/>
      <c r="B4" s="2"/>
      <c r="C4" s="198" t="s">
        <v>14</v>
      </c>
      <c r="D4" s="198"/>
      <c r="E4" s="198"/>
      <c r="F4" s="198"/>
      <c r="G4" s="198"/>
      <c r="H4" s="198"/>
      <c r="I4" s="198"/>
      <c r="J4" s="44"/>
      <c r="K4" s="1"/>
      <c r="L4" s="44"/>
      <c r="M4" s="1"/>
      <c r="N4" s="1"/>
      <c r="O4" s="1"/>
    </row>
    <row r="5" spans="1:15" s="5" customFormat="1" ht="19.5" customHeight="1" thickBot="1" x14ac:dyDescent="0.3">
      <c r="A5" s="1"/>
      <c r="B5" s="34"/>
      <c r="C5" s="199"/>
      <c r="D5" s="199"/>
      <c r="E5" s="199"/>
      <c r="F5" s="199"/>
      <c r="G5" s="199"/>
      <c r="H5" s="199"/>
      <c r="I5" s="199"/>
      <c r="J5" s="64"/>
      <c r="K5" s="45"/>
      <c r="L5" s="7"/>
      <c r="M5" s="1"/>
      <c r="N5" s="1"/>
      <c r="O5" s="1"/>
    </row>
    <row r="6" spans="1:15" s="5" customFormat="1" ht="15" customHeight="1" x14ac:dyDescent="0.25">
      <c r="A6" s="1"/>
      <c r="B6" s="2"/>
      <c r="C6" s="79"/>
      <c r="D6" s="79"/>
      <c r="E6" s="79"/>
      <c r="F6" s="79"/>
      <c r="G6" s="79"/>
      <c r="H6" s="79"/>
      <c r="I6" s="79"/>
      <c r="J6" s="65"/>
      <c r="K6" s="45"/>
      <c r="L6" s="45"/>
      <c r="M6" s="1"/>
      <c r="N6" s="1"/>
      <c r="O6" s="1"/>
    </row>
    <row r="7" spans="1:15" s="5" customFormat="1" ht="15.95" customHeight="1" x14ac:dyDescent="0.25">
      <c r="A7" s="1"/>
      <c r="B7" s="12"/>
      <c r="C7" s="43" t="s">
        <v>15</v>
      </c>
      <c r="D7" s="8"/>
      <c r="E7" s="1"/>
      <c r="F7" s="8"/>
      <c r="G7" s="8"/>
      <c r="H7" s="1"/>
      <c r="I7" s="1"/>
      <c r="J7" s="9"/>
      <c r="K7" s="1"/>
      <c r="L7" s="1"/>
      <c r="M7" s="1"/>
    </row>
    <row r="8" spans="1:15" s="5" customFormat="1" ht="15.95" customHeight="1" x14ac:dyDescent="0.25">
      <c r="A8" s="1"/>
      <c r="B8" s="12"/>
      <c r="C8" s="190" t="s">
        <v>2</v>
      </c>
      <c r="D8" s="190"/>
      <c r="E8" s="190"/>
      <c r="F8" s="190"/>
      <c r="G8" s="190"/>
      <c r="H8" s="190"/>
      <c r="I8" s="190"/>
      <c r="J8" s="197"/>
      <c r="K8" s="68"/>
      <c r="L8" s="1"/>
      <c r="M8" s="1"/>
    </row>
    <row r="9" spans="1:15" s="5" customFormat="1" ht="15.95" customHeight="1" x14ac:dyDescent="0.25">
      <c r="A9" s="1"/>
      <c r="B9" s="12"/>
      <c r="C9" s="69" t="s">
        <v>16</v>
      </c>
      <c r="D9" s="70"/>
      <c r="E9" s="18"/>
      <c r="F9" s="70"/>
      <c r="G9" s="8"/>
      <c r="I9" s="1"/>
      <c r="J9" s="9"/>
      <c r="K9" s="1"/>
      <c r="L9" s="1"/>
      <c r="M9" s="1"/>
    </row>
    <row r="10" spans="1:15" s="5" customFormat="1" ht="15.95" customHeight="1" x14ac:dyDescent="0.25">
      <c r="A10" s="1"/>
      <c r="B10" s="12"/>
      <c r="C10" s="86" t="s">
        <v>17</v>
      </c>
      <c r="D10" s="85"/>
      <c r="E10" s="82"/>
      <c r="F10" s="85"/>
      <c r="G10" s="8"/>
      <c r="H10" s="1"/>
      <c r="I10" s="1"/>
      <c r="J10" s="9"/>
      <c r="K10" s="1"/>
      <c r="L10" s="1"/>
      <c r="M10" s="1"/>
    </row>
    <row r="11" spans="1:15" s="5" customFormat="1" ht="15.95" customHeight="1" x14ac:dyDescent="0.25">
      <c r="A11" s="1"/>
      <c r="B11" s="14"/>
      <c r="C11" s="55"/>
      <c r="D11" s="63"/>
      <c r="E11" s="15"/>
      <c r="F11" s="63"/>
      <c r="G11" s="63"/>
      <c r="H11" s="15"/>
      <c r="I11" s="15"/>
      <c r="J11" s="6"/>
      <c r="K11" s="1"/>
      <c r="L11" s="1"/>
      <c r="M11" s="1"/>
    </row>
    <row r="12" spans="1:15" s="5" customFormat="1" ht="15.95" customHeight="1" x14ac:dyDescent="0.25">
      <c r="A12" s="1"/>
      <c r="B12" s="12"/>
      <c r="C12" s="8"/>
      <c r="D12" s="8"/>
      <c r="E12" s="1"/>
      <c r="F12" s="8"/>
      <c r="G12" s="8"/>
      <c r="H12" s="1"/>
      <c r="I12" s="1"/>
      <c r="J12" s="9"/>
      <c r="K12" s="1"/>
      <c r="L12" s="1"/>
      <c r="M12" s="1"/>
    </row>
    <row r="13" spans="1:15" s="5" customFormat="1" ht="15.95" customHeight="1" x14ac:dyDescent="0.25">
      <c r="A13" s="1"/>
      <c r="B13" s="12"/>
      <c r="C13" s="10" t="s">
        <v>18</v>
      </c>
      <c r="D13" s="10"/>
      <c r="E13" s="1"/>
      <c r="F13" s="1"/>
      <c r="G13" s="1"/>
      <c r="H13" s="11"/>
      <c r="I13" s="1"/>
      <c r="J13" s="9"/>
      <c r="K13" s="1"/>
      <c r="L13" s="1"/>
      <c r="M13" s="1"/>
    </row>
    <row r="14" spans="1:15" s="5" customFormat="1" ht="15.95" customHeight="1" x14ac:dyDescent="0.25">
      <c r="A14" s="1"/>
      <c r="B14" s="12"/>
      <c r="C14" s="1" t="s">
        <v>19</v>
      </c>
      <c r="D14" s="200"/>
      <c r="E14" s="200"/>
      <c r="F14" s="200"/>
      <c r="G14" s="13"/>
      <c r="H14" s="11"/>
      <c r="I14" s="1"/>
      <c r="J14" s="9"/>
      <c r="K14" s="1"/>
      <c r="L14" s="1"/>
      <c r="M14" s="1"/>
    </row>
    <row r="15" spans="1:15" s="5" customFormat="1" ht="15.95" customHeight="1" x14ac:dyDescent="0.25">
      <c r="A15" s="1"/>
      <c r="B15" s="12"/>
      <c r="C15" s="1" t="s">
        <v>20</v>
      </c>
      <c r="D15" s="200"/>
      <c r="E15" s="200"/>
      <c r="F15" s="200"/>
      <c r="G15" s="13"/>
      <c r="H15" s="11"/>
      <c r="I15" s="1"/>
      <c r="J15" s="9"/>
      <c r="K15" s="1"/>
      <c r="L15" s="1"/>
      <c r="M15" s="1"/>
    </row>
    <row r="16" spans="1:15" s="5" customFormat="1" ht="15.95" customHeight="1" x14ac:dyDescent="0.25">
      <c r="A16" s="1"/>
      <c r="B16" s="12"/>
      <c r="C16" s="1" t="s">
        <v>21</v>
      </c>
      <c r="D16" s="200"/>
      <c r="E16" s="200"/>
      <c r="F16" s="200"/>
      <c r="G16" s="13"/>
      <c r="H16" s="11"/>
      <c r="I16" s="1"/>
      <c r="J16" s="9"/>
      <c r="K16" s="1"/>
      <c r="L16" s="1"/>
      <c r="M16" s="1"/>
    </row>
    <row r="17" spans="1:13" s="5" customFormat="1" ht="15.95" customHeight="1" x14ac:dyDescent="0.25">
      <c r="A17" s="1"/>
      <c r="B17" s="12"/>
      <c r="C17" s="1" t="s">
        <v>22</v>
      </c>
      <c r="D17" s="200"/>
      <c r="E17" s="200"/>
      <c r="F17" s="200"/>
      <c r="G17" s="13"/>
      <c r="H17" s="11"/>
      <c r="I17" s="1"/>
      <c r="J17" s="9"/>
      <c r="K17" s="1"/>
      <c r="L17" s="1"/>
      <c r="M17" s="1"/>
    </row>
    <row r="18" spans="1:13" s="5" customFormat="1" ht="15.95" customHeight="1" x14ac:dyDescent="0.25">
      <c r="A18" s="1"/>
      <c r="B18" s="14"/>
      <c r="C18" s="15"/>
      <c r="D18" s="15"/>
      <c r="E18" s="15"/>
      <c r="F18" s="15"/>
      <c r="G18" s="15"/>
      <c r="H18" s="16"/>
      <c r="I18" s="15"/>
      <c r="J18" s="6"/>
      <c r="K18" s="1"/>
      <c r="L18" s="1"/>
      <c r="M18" s="1"/>
    </row>
    <row r="19" spans="1:13" s="5" customFormat="1" ht="15.95" customHeight="1" x14ac:dyDescent="0.25">
      <c r="A19" s="1"/>
      <c r="B19" s="12"/>
      <c r="C19" s="8"/>
      <c r="D19" s="8"/>
      <c r="E19" s="19"/>
      <c r="F19" s="1"/>
      <c r="G19" s="1"/>
      <c r="H19" s="11"/>
      <c r="I19" s="1"/>
      <c r="J19" s="9"/>
      <c r="K19" s="1"/>
      <c r="L19" s="1"/>
      <c r="M19" s="1"/>
    </row>
    <row r="20" spans="1:13" s="5" customFormat="1" ht="15.95" customHeight="1" x14ac:dyDescent="0.25">
      <c r="A20" s="1"/>
      <c r="B20" s="12"/>
      <c r="C20" s="8" t="s">
        <v>23</v>
      </c>
      <c r="D20" s="8"/>
      <c r="E20" s="19"/>
      <c r="F20" s="1"/>
      <c r="G20" s="1"/>
      <c r="H20" s="11"/>
      <c r="I20" s="1"/>
      <c r="J20" s="9"/>
      <c r="K20" s="1"/>
      <c r="L20" s="1"/>
      <c r="M20" s="1"/>
    </row>
    <row r="21" spans="1:13" s="5" customFormat="1" ht="15.95" customHeight="1" x14ac:dyDescent="0.25">
      <c r="A21" s="1"/>
      <c r="B21" s="12"/>
      <c r="C21" s="8"/>
      <c r="D21" s="8"/>
      <c r="E21" s="19"/>
      <c r="F21" s="1"/>
      <c r="G21" s="1"/>
      <c r="H21" s="11"/>
      <c r="I21" s="1"/>
      <c r="J21" s="9"/>
      <c r="K21" s="1"/>
      <c r="L21" s="1"/>
      <c r="M21" s="1"/>
    </row>
    <row r="22" spans="1:13" s="5" customFormat="1" ht="15.95" customHeight="1" x14ac:dyDescent="0.25">
      <c r="A22" s="1"/>
      <c r="B22" s="12"/>
      <c r="C22" s="1" t="s">
        <v>24</v>
      </c>
      <c r="D22" s="1"/>
      <c r="E22" s="17">
        <v>190</v>
      </c>
      <c r="F22" s="1" t="s">
        <v>25</v>
      </c>
      <c r="G22" s="1"/>
      <c r="H22" s="20" t="s">
        <v>26</v>
      </c>
      <c r="I22" s="1"/>
      <c r="J22" s="9"/>
      <c r="K22" s="1"/>
      <c r="L22" s="1"/>
      <c r="M22" s="1"/>
    </row>
    <row r="23" spans="1:13" s="5" customFormat="1" ht="15.95" customHeight="1" x14ac:dyDescent="0.25">
      <c r="A23" s="1"/>
      <c r="B23" s="12"/>
      <c r="C23" s="1" t="s">
        <v>27</v>
      </c>
      <c r="D23" s="1"/>
      <c r="E23" s="17">
        <v>2200</v>
      </c>
      <c r="F23" s="1" t="s">
        <v>28</v>
      </c>
      <c r="G23" s="1"/>
      <c r="H23" s="130" t="s">
        <v>29</v>
      </c>
      <c r="I23" s="1"/>
      <c r="J23" s="9"/>
      <c r="K23" s="1"/>
      <c r="L23" s="1"/>
      <c r="M23" s="1"/>
    </row>
    <row r="24" spans="1:13" s="5" customFormat="1" ht="15.95" customHeight="1" x14ac:dyDescent="0.25">
      <c r="A24" s="1"/>
      <c r="B24" s="12"/>
      <c r="C24" s="1"/>
      <c r="D24" s="1"/>
      <c r="E24" s="100"/>
      <c r="F24" s="1"/>
      <c r="G24" s="1"/>
      <c r="H24" s="20" t="s">
        <v>30</v>
      </c>
      <c r="I24" s="1"/>
      <c r="J24" s="9"/>
      <c r="K24" s="1"/>
      <c r="L24" s="1"/>
      <c r="M24" s="1"/>
    </row>
    <row r="25" spans="1:13" s="5" customFormat="1" ht="15.95" customHeight="1" x14ac:dyDescent="0.25">
      <c r="A25" s="1"/>
      <c r="B25" s="12"/>
      <c r="C25" s="1" t="s">
        <v>31</v>
      </c>
      <c r="D25" s="8"/>
      <c r="E25" s="19"/>
      <c r="F25" s="1"/>
      <c r="G25" s="1"/>
      <c r="H25" s="11"/>
      <c r="I25" s="1"/>
      <c r="J25" s="9"/>
      <c r="K25" s="1"/>
      <c r="L25" s="1"/>
      <c r="M25" s="1"/>
    </row>
    <row r="26" spans="1:13" s="5" customFormat="1" ht="15.95" customHeight="1" x14ac:dyDescent="0.25">
      <c r="A26" s="1"/>
      <c r="B26" s="12"/>
      <c r="C26" s="1" t="s">
        <v>32</v>
      </c>
      <c r="D26" s="1"/>
      <c r="E26" s="25">
        <f>Oplysninger!C253</f>
        <v>2957</v>
      </c>
      <c r="F26" s="1"/>
      <c r="G26" s="1"/>
      <c r="H26" s="24" t="s">
        <v>33</v>
      </c>
      <c r="I26" s="1"/>
      <c r="J26" s="9"/>
      <c r="K26" s="1"/>
      <c r="L26" s="1"/>
      <c r="M26" s="1"/>
    </row>
    <row r="27" spans="1:13" s="5" customFormat="1" ht="15.95" customHeight="1" x14ac:dyDescent="0.25">
      <c r="A27" s="1"/>
      <c r="B27" s="12"/>
      <c r="C27" s="1" t="s">
        <v>34</v>
      </c>
      <c r="D27" s="1"/>
      <c r="E27" s="83">
        <v>2021</v>
      </c>
      <c r="G27" s="122"/>
      <c r="H27" s="21" t="s">
        <v>35</v>
      </c>
      <c r="I27" s="1"/>
      <c r="J27" s="9"/>
      <c r="K27" s="1"/>
      <c r="L27" s="1"/>
      <c r="M27" s="1"/>
    </row>
    <row r="28" spans="1:13" s="5" customFormat="1" ht="15.95" customHeight="1" x14ac:dyDescent="0.25">
      <c r="A28" s="1"/>
      <c r="B28" s="12"/>
      <c r="C28" s="1" t="s">
        <v>36</v>
      </c>
      <c r="D28" s="1"/>
      <c r="E28" s="19">
        <f>VLOOKUP(E27,Oplysninger!B244:C251,2,FALSE)</f>
        <v>3098.4</v>
      </c>
      <c r="F28" s="1"/>
      <c r="G28" s="1"/>
      <c r="H28" s="11"/>
      <c r="I28" s="1"/>
      <c r="J28" s="9"/>
      <c r="K28" s="1"/>
      <c r="L28" s="1"/>
      <c r="M28" s="1"/>
    </row>
    <row r="29" spans="1:13" s="5" customFormat="1" ht="15.95" customHeight="1" x14ac:dyDescent="0.25">
      <c r="A29" s="1"/>
      <c r="B29" s="12"/>
      <c r="C29" s="1" t="s">
        <v>37</v>
      </c>
      <c r="D29" s="1"/>
      <c r="E29" s="38">
        <v>0.7</v>
      </c>
      <c r="F29" s="1"/>
      <c r="G29" s="1"/>
      <c r="H29" s="24" t="s">
        <v>38</v>
      </c>
      <c r="I29" s="1"/>
      <c r="J29" s="9"/>
      <c r="K29" s="1"/>
      <c r="L29" s="1"/>
      <c r="M29" s="1"/>
    </row>
    <row r="30" spans="1:13" s="5" customFormat="1" ht="15.95" customHeight="1" x14ac:dyDescent="0.25">
      <c r="A30" s="1"/>
      <c r="B30" s="12"/>
      <c r="C30" s="1"/>
      <c r="D30" s="1"/>
      <c r="E30" s="101"/>
      <c r="F30" s="1"/>
      <c r="G30" s="1"/>
      <c r="H30" s="24"/>
      <c r="I30" s="1"/>
      <c r="J30" s="9"/>
      <c r="K30" s="1"/>
      <c r="L30" s="1"/>
      <c r="M30" s="1"/>
    </row>
    <row r="31" spans="1:13" s="5" customFormat="1" ht="15.95" customHeight="1" x14ac:dyDescent="0.25">
      <c r="A31" s="1"/>
      <c r="B31" s="12"/>
      <c r="C31" s="1" t="s">
        <v>39</v>
      </c>
      <c r="D31" s="1"/>
      <c r="E31" s="25">
        <f>(E23*E29)*(E26/E28)+(E23*(1-E29))</f>
        <v>2129.7198554092438</v>
      </c>
      <c r="F31" s="1" t="s">
        <v>40</v>
      </c>
      <c r="G31" s="1"/>
      <c r="H31" s="24"/>
      <c r="I31" s="1"/>
      <c r="J31" s="9"/>
      <c r="K31" s="1"/>
      <c r="L31" s="1"/>
      <c r="M31" s="1"/>
    </row>
    <row r="32" spans="1:13" s="5" customFormat="1" ht="15.95" customHeight="1" x14ac:dyDescent="0.25">
      <c r="A32" s="1"/>
      <c r="B32" s="12"/>
      <c r="C32" s="1"/>
      <c r="D32" s="1"/>
      <c r="E32" s="102"/>
      <c r="F32" s="1"/>
      <c r="G32" s="1"/>
      <c r="H32" s="24"/>
      <c r="I32" s="1"/>
      <c r="J32" s="9"/>
      <c r="K32" s="1"/>
      <c r="L32" s="1"/>
      <c r="M32" s="1"/>
    </row>
    <row r="33" spans="1:13" s="5" customFormat="1" ht="15.95" customHeight="1" x14ac:dyDescent="0.25">
      <c r="A33" s="1"/>
      <c r="B33" s="12"/>
      <c r="C33" s="1" t="s">
        <v>41</v>
      </c>
      <c r="D33" s="1"/>
      <c r="E33" s="182">
        <v>11.02</v>
      </c>
      <c r="F33" s="1" t="s">
        <v>42</v>
      </c>
      <c r="G33" s="1"/>
      <c r="H33" s="20" t="s">
        <v>43</v>
      </c>
      <c r="I33" s="1"/>
      <c r="J33" s="9"/>
      <c r="K33" s="1"/>
      <c r="L33" s="1"/>
      <c r="M33" s="1"/>
    </row>
    <row r="34" spans="1:13" s="5" customFormat="1" ht="15.95" customHeight="1" x14ac:dyDescent="0.25">
      <c r="A34" s="1"/>
      <c r="B34" s="12"/>
      <c r="C34" s="1" t="s">
        <v>44</v>
      </c>
      <c r="D34" s="1"/>
      <c r="E34" s="38">
        <v>90</v>
      </c>
      <c r="F34" s="1" t="s">
        <v>45</v>
      </c>
      <c r="G34" s="1"/>
      <c r="H34" s="20" t="s">
        <v>46</v>
      </c>
      <c r="I34" s="1"/>
      <c r="J34" s="9"/>
      <c r="K34" s="1"/>
      <c r="L34" s="1"/>
      <c r="M34" s="1"/>
    </row>
    <row r="35" spans="1:13" s="5" customFormat="1" ht="15.95" customHeight="1" x14ac:dyDescent="0.25">
      <c r="A35" s="1"/>
      <c r="B35" s="12"/>
      <c r="C35" s="1" t="s">
        <v>47</v>
      </c>
      <c r="D35" s="1"/>
      <c r="E35" s="39">
        <v>12</v>
      </c>
      <c r="F35" s="1" t="s">
        <v>48</v>
      </c>
      <c r="G35" s="1"/>
      <c r="H35" s="20" t="s">
        <v>49</v>
      </c>
      <c r="I35" s="1"/>
      <c r="J35" s="9"/>
      <c r="K35" s="1"/>
      <c r="L35" s="1"/>
      <c r="M35" s="1"/>
    </row>
    <row r="36" spans="1:13" s="5" customFormat="1" ht="15.95" customHeight="1" x14ac:dyDescent="0.25">
      <c r="A36" s="1"/>
      <c r="B36" s="12"/>
      <c r="C36" s="1" t="s">
        <v>50</v>
      </c>
      <c r="D36" s="1"/>
      <c r="E36" s="23">
        <v>25</v>
      </c>
      <c r="F36" s="1" t="s">
        <v>51</v>
      </c>
      <c r="G36" s="1"/>
      <c r="H36" s="20" t="s">
        <v>52</v>
      </c>
      <c r="I36" s="1"/>
      <c r="J36" s="9"/>
      <c r="K36" s="1"/>
      <c r="L36" s="1"/>
      <c r="M36" s="1"/>
    </row>
    <row r="37" spans="1:13" s="5" customFormat="1" ht="15.95" customHeight="1" x14ac:dyDescent="0.25">
      <c r="A37" s="1"/>
      <c r="B37" s="12"/>
      <c r="C37" s="1"/>
      <c r="D37" s="1"/>
      <c r="E37" s="19"/>
      <c r="F37" s="1"/>
      <c r="G37" s="1"/>
      <c r="H37" s="20"/>
      <c r="I37" s="1"/>
      <c r="J37" s="9"/>
      <c r="K37" s="1"/>
      <c r="L37" s="1"/>
      <c r="M37" s="1"/>
    </row>
    <row r="38" spans="1:13" s="5" customFormat="1" ht="15.75" customHeight="1" x14ac:dyDescent="0.25">
      <c r="A38" s="1"/>
      <c r="B38" s="12"/>
      <c r="C38" s="1" t="s">
        <v>53</v>
      </c>
      <c r="D38" s="1"/>
      <c r="E38" s="19">
        <f>(E31*E33)*(E34/100)</f>
        <v>21122.56152594888</v>
      </c>
      <c r="F38" s="1" t="s">
        <v>54</v>
      </c>
      <c r="G38" s="1"/>
      <c r="H38" s="20" t="s">
        <v>55</v>
      </c>
      <c r="I38" s="1"/>
      <c r="J38" s="9"/>
      <c r="K38" s="1"/>
      <c r="L38" s="1"/>
      <c r="M38" s="1"/>
    </row>
    <row r="39" spans="1:13" s="5" customFormat="1" ht="15.95" customHeight="1" x14ac:dyDescent="0.25">
      <c r="A39" s="1"/>
      <c r="B39" s="12"/>
      <c r="C39" s="24"/>
      <c r="D39" s="1"/>
      <c r="E39" s="19"/>
      <c r="F39" s="1"/>
      <c r="G39" s="1"/>
      <c r="H39" s="99"/>
      <c r="I39" s="1"/>
      <c r="J39" s="9"/>
      <c r="K39" s="1"/>
      <c r="L39" s="1"/>
      <c r="M39" s="1"/>
    </row>
    <row r="40" spans="1:13" s="5" customFormat="1" ht="15.95" customHeight="1" x14ac:dyDescent="0.25">
      <c r="A40" s="1"/>
      <c r="B40" s="116"/>
      <c r="C40" s="131"/>
      <c r="D40" s="117"/>
      <c r="E40" s="118"/>
      <c r="F40" s="117"/>
      <c r="G40" s="117"/>
      <c r="H40" s="132"/>
      <c r="I40" s="117"/>
      <c r="J40" s="119"/>
      <c r="K40" s="1"/>
      <c r="L40" s="1"/>
      <c r="M40" s="1"/>
    </row>
    <row r="41" spans="1:13" s="5" customFormat="1" ht="17.25" x14ac:dyDescent="0.25">
      <c r="A41" s="1"/>
      <c r="B41" s="12"/>
      <c r="C41" s="133" t="s">
        <v>56</v>
      </c>
      <c r="D41" s="8"/>
      <c r="E41" s="19"/>
      <c r="F41" s="1"/>
      <c r="G41" s="1"/>
      <c r="H41" s="11"/>
      <c r="I41" s="1"/>
      <c r="J41" s="9"/>
      <c r="K41" s="1"/>
      <c r="L41" s="1"/>
      <c r="M41" s="1"/>
    </row>
    <row r="42" spans="1:13" s="5" customFormat="1" x14ac:dyDescent="0.25">
      <c r="A42" s="1"/>
      <c r="B42" s="12"/>
      <c r="C42" s="1" t="s">
        <v>57</v>
      </c>
      <c r="D42" s="8"/>
      <c r="E42" s="134">
        <f>E31</f>
        <v>2129.7198554092438</v>
      </c>
      <c r="F42" s="1" t="s">
        <v>40</v>
      </c>
      <c r="G42" s="1"/>
      <c r="H42" s="11"/>
      <c r="I42" s="1"/>
      <c r="J42" s="9"/>
      <c r="K42" s="1"/>
      <c r="L42" s="1"/>
      <c r="M42" s="1"/>
    </row>
    <row r="43" spans="1:13" s="5" customFormat="1" ht="15.95" customHeight="1" x14ac:dyDescent="0.25">
      <c r="A43" s="1"/>
      <c r="B43" s="12"/>
      <c r="C43" s="1" t="s">
        <v>58</v>
      </c>
      <c r="D43" s="1"/>
      <c r="E43" s="19">
        <f>E42*E35+E36*12</f>
        <v>25856.638264910925</v>
      </c>
      <c r="F43" s="1" t="s">
        <v>8</v>
      </c>
      <c r="G43" s="1"/>
      <c r="H43" s="1"/>
      <c r="I43" s="1"/>
      <c r="J43" s="9"/>
      <c r="K43" s="1"/>
      <c r="L43" s="1"/>
      <c r="M43" s="1"/>
    </row>
    <row r="44" spans="1:13" s="5" customFormat="1" ht="15.95" customHeight="1" x14ac:dyDescent="0.25">
      <c r="A44" s="1"/>
      <c r="B44" s="12"/>
      <c r="C44" s="1" t="s">
        <v>59</v>
      </c>
      <c r="D44" s="1"/>
      <c r="E44" s="23">
        <v>570</v>
      </c>
      <c r="F44" s="1" t="s">
        <v>60</v>
      </c>
      <c r="G44" s="1"/>
      <c r="H44" s="20" t="s">
        <v>61</v>
      </c>
      <c r="I44" s="1"/>
      <c r="J44" s="9"/>
      <c r="K44" s="1"/>
      <c r="L44" s="1"/>
      <c r="M44" s="1"/>
    </row>
    <row r="45" spans="1:13" ht="15.95" customHeight="1" x14ac:dyDescent="0.25">
      <c r="B45" s="12"/>
      <c r="C45" s="1" t="s">
        <v>62</v>
      </c>
      <c r="E45" s="23">
        <v>950</v>
      </c>
      <c r="F45" s="1" t="s">
        <v>60</v>
      </c>
      <c r="H45" s="20"/>
      <c r="J45" s="9"/>
    </row>
    <row r="46" spans="1:13" ht="15.95" customHeight="1" x14ac:dyDescent="0.25">
      <c r="B46" s="12"/>
      <c r="C46" s="1" t="s">
        <v>63</v>
      </c>
      <c r="E46" s="23">
        <v>400</v>
      </c>
      <c r="F46" s="1" t="s">
        <v>60</v>
      </c>
      <c r="H46" s="20"/>
      <c r="J46" s="9"/>
    </row>
    <row r="47" spans="1:13" ht="15.95" customHeight="1" x14ac:dyDescent="0.25">
      <c r="B47" s="12"/>
      <c r="C47" s="32" t="s">
        <v>64</v>
      </c>
      <c r="D47" s="32"/>
      <c r="E47" s="33">
        <f>SUM(C43:E46)</f>
        <v>27776.638264910925</v>
      </c>
      <c r="F47" s="32" t="s">
        <v>8</v>
      </c>
      <c r="H47" s="11"/>
      <c r="J47" s="9"/>
    </row>
    <row r="48" spans="1:13" ht="15.95" customHeight="1" x14ac:dyDescent="0.25">
      <c r="B48" s="12"/>
      <c r="E48" s="19"/>
      <c r="H48" s="11"/>
      <c r="J48" s="9"/>
    </row>
    <row r="49" spans="1:13" ht="15.95" customHeight="1" x14ac:dyDescent="0.25">
      <c r="B49" s="12"/>
      <c r="C49" s="8" t="s">
        <v>65</v>
      </c>
      <c r="E49" s="19"/>
      <c r="H49" s="11"/>
      <c r="J49" s="9"/>
    </row>
    <row r="50" spans="1:13" ht="15.95" customHeight="1" x14ac:dyDescent="0.25">
      <c r="B50" s="12"/>
      <c r="C50" s="1" t="s">
        <v>66</v>
      </c>
      <c r="E50" s="23">
        <v>2</v>
      </c>
      <c r="F50" s="1" t="s">
        <v>13</v>
      </c>
      <c r="H50" s="11"/>
      <c r="J50" s="9"/>
    </row>
    <row r="51" spans="1:13" ht="15.95" customHeight="1" x14ac:dyDescent="0.25">
      <c r="B51" s="12"/>
      <c r="C51" s="1" t="s">
        <v>67</v>
      </c>
      <c r="E51" s="23">
        <v>35000</v>
      </c>
      <c r="F51" s="1" t="s">
        <v>11</v>
      </c>
      <c r="H51" s="24" t="s">
        <v>68</v>
      </c>
      <c r="J51" s="9"/>
    </row>
    <row r="52" spans="1:13" ht="15.95" customHeight="1" x14ac:dyDescent="0.25">
      <c r="B52" s="12"/>
      <c r="C52" s="1" t="s">
        <v>69</v>
      </c>
      <c r="E52" s="23">
        <v>20</v>
      </c>
      <c r="F52" s="1" t="s">
        <v>13</v>
      </c>
      <c r="H52" s="193" t="s">
        <v>70</v>
      </c>
      <c r="I52" s="193"/>
      <c r="J52" s="194"/>
    </row>
    <row r="53" spans="1:13" ht="15.95" customHeight="1" x14ac:dyDescent="0.25">
      <c r="B53" s="12"/>
      <c r="C53" s="1" t="s">
        <v>71</v>
      </c>
      <c r="D53" s="54">
        <v>0.05</v>
      </c>
      <c r="E53" s="19">
        <f>IFERROR(-PMT(D53,E52,E51),"")</f>
        <v>2808.490551674196</v>
      </c>
      <c r="F53" s="1" t="s">
        <v>60</v>
      </c>
      <c r="H53" s="193"/>
      <c r="I53" s="193"/>
      <c r="J53" s="194"/>
    </row>
    <row r="54" spans="1:13" ht="15.95" customHeight="1" x14ac:dyDescent="0.25">
      <c r="B54" s="12"/>
      <c r="D54" s="52"/>
      <c r="E54" s="19"/>
      <c r="H54" s="11"/>
      <c r="J54" s="9"/>
    </row>
    <row r="55" spans="1:13" ht="15.95" customHeight="1" x14ac:dyDescent="0.25">
      <c r="B55" s="12"/>
      <c r="C55" s="32" t="s">
        <v>72</v>
      </c>
      <c r="D55" s="32"/>
      <c r="E55" s="33">
        <f>IFERROR(E53+E47,"")</f>
        <v>30585.128816585122</v>
      </c>
      <c r="F55" s="32" t="s">
        <v>8</v>
      </c>
      <c r="H55" s="11"/>
      <c r="J55" s="9"/>
    </row>
    <row r="56" spans="1:13" s="5" customFormat="1" ht="15.95" customHeight="1" thickBot="1" x14ac:dyDescent="0.3">
      <c r="A56" s="1"/>
      <c r="B56" s="34"/>
      <c r="C56" s="35"/>
      <c r="D56" s="35"/>
      <c r="E56" s="36"/>
      <c r="F56" s="35"/>
      <c r="G56" s="35"/>
      <c r="H56" s="41"/>
      <c r="I56" s="35"/>
      <c r="J56" s="37"/>
      <c r="K56" s="1"/>
      <c r="L56" s="1"/>
      <c r="M56" s="1"/>
    </row>
    <row r="57" spans="1:13" s="5" customFormat="1" ht="15.95" customHeight="1" x14ac:dyDescent="0.25">
      <c r="A57" s="1"/>
      <c r="B57" s="1"/>
      <c r="C57" s="1"/>
      <c r="D57" s="1"/>
      <c r="E57" s="19"/>
      <c r="F57" s="1"/>
      <c r="G57" s="1"/>
      <c r="H57" s="11"/>
      <c r="I57" s="1"/>
      <c r="J57" s="1"/>
      <c r="K57" s="1"/>
      <c r="L57" s="1"/>
      <c r="M57" s="1"/>
    </row>
    <row r="58" spans="1:13" s="5" customFormat="1" ht="15.95" customHeight="1" thickBot="1" x14ac:dyDescent="0.3">
      <c r="A58" s="1"/>
      <c r="B58" s="1"/>
      <c r="C58" s="1"/>
      <c r="D58" s="1"/>
      <c r="E58" s="19"/>
      <c r="F58" s="1"/>
      <c r="G58" s="1"/>
      <c r="H58" s="11"/>
      <c r="I58" s="1"/>
      <c r="J58" s="1"/>
      <c r="K58" s="1"/>
      <c r="L58" s="1"/>
      <c r="M58" s="1"/>
    </row>
    <row r="59" spans="1:13" s="5" customFormat="1" ht="37.5" customHeight="1" x14ac:dyDescent="0.25">
      <c r="A59" s="1"/>
      <c r="B59" s="2"/>
      <c r="C59" s="3"/>
      <c r="D59" s="3"/>
      <c r="E59" s="3"/>
      <c r="F59" s="3"/>
      <c r="G59" s="3"/>
      <c r="H59" s="3"/>
      <c r="I59" s="3"/>
      <c r="J59" s="4"/>
      <c r="K59" s="1"/>
      <c r="L59" s="1"/>
      <c r="M59" s="1"/>
    </row>
    <row r="60" spans="1:13" s="5" customFormat="1" ht="38.25" customHeight="1" thickBot="1" x14ac:dyDescent="0.3">
      <c r="A60" s="1"/>
      <c r="B60" s="34"/>
      <c r="C60" s="187"/>
      <c r="D60" s="187"/>
      <c r="E60" s="187"/>
      <c r="F60" s="187"/>
      <c r="G60" s="187"/>
      <c r="H60" s="187"/>
      <c r="I60" s="187"/>
      <c r="J60" s="37"/>
      <c r="K60" s="1"/>
      <c r="L60" s="1"/>
      <c r="M60" s="1"/>
    </row>
    <row r="61" spans="1:13" s="5" customFormat="1" ht="18" customHeight="1" x14ac:dyDescent="0.25">
      <c r="A61" s="1"/>
      <c r="B61" s="12"/>
      <c r="C61" s="51"/>
      <c r="D61" s="51"/>
      <c r="E61" s="51"/>
      <c r="F61" s="51"/>
      <c r="G61" s="51"/>
      <c r="H61" s="51"/>
      <c r="I61" s="51"/>
      <c r="J61" s="9"/>
      <c r="K61" s="1"/>
      <c r="L61" s="1"/>
      <c r="M61" s="1"/>
    </row>
    <row r="62" spans="1:13" s="5" customFormat="1" ht="15.95" customHeight="1" x14ac:dyDescent="0.25">
      <c r="A62" s="1"/>
      <c r="B62" s="12"/>
      <c r="C62" s="43" t="s">
        <v>73</v>
      </c>
      <c r="D62" s="8"/>
      <c r="E62" s="19"/>
      <c r="F62" s="1"/>
      <c r="G62" s="1"/>
      <c r="H62" s="11"/>
      <c r="I62" s="1"/>
      <c r="J62" s="9"/>
      <c r="K62" s="1"/>
      <c r="L62" s="1"/>
      <c r="M62" s="1"/>
    </row>
    <row r="63" spans="1:13" s="5" customFormat="1" ht="15.95" customHeight="1" x14ac:dyDescent="0.25">
      <c r="A63" s="1"/>
      <c r="B63" s="12"/>
      <c r="C63" s="190" t="s">
        <v>2</v>
      </c>
      <c r="D63" s="190"/>
      <c r="E63" s="190"/>
      <c r="F63" s="190"/>
      <c r="G63" s="190"/>
      <c r="H63" s="190"/>
      <c r="I63" s="190"/>
      <c r="J63" s="197"/>
      <c r="K63" s="68"/>
      <c r="L63" s="1"/>
      <c r="M63" s="1"/>
    </row>
    <row r="64" spans="1:13" s="5" customFormat="1" ht="15.95" customHeight="1" x14ac:dyDescent="0.25">
      <c r="A64" s="1"/>
      <c r="B64" s="12"/>
      <c r="C64" s="69" t="s">
        <v>16</v>
      </c>
      <c r="D64" s="18"/>
      <c r="E64" s="23"/>
      <c r="F64" s="18"/>
      <c r="G64" s="1"/>
      <c r="H64" s="11"/>
      <c r="I64" s="1"/>
      <c r="J64" s="9"/>
      <c r="K64" s="1"/>
      <c r="L64" s="1"/>
      <c r="M64" s="1"/>
    </row>
    <row r="65" spans="1:13" s="5" customFormat="1" ht="15.95" customHeight="1" x14ac:dyDescent="0.25">
      <c r="A65" s="1"/>
      <c r="B65" s="12"/>
      <c r="C65" s="86" t="s">
        <v>17</v>
      </c>
      <c r="D65" s="85"/>
      <c r="E65" s="82"/>
      <c r="F65" s="85"/>
      <c r="G65" s="8"/>
      <c r="H65" s="1"/>
      <c r="I65" s="1"/>
      <c r="J65" s="9"/>
      <c r="K65" s="1"/>
      <c r="L65" s="1"/>
      <c r="M65" s="1"/>
    </row>
    <row r="66" spans="1:13" s="5" customFormat="1" ht="15.95" customHeight="1" x14ac:dyDescent="0.25">
      <c r="A66" s="1"/>
      <c r="B66" s="14"/>
      <c r="C66" s="55"/>
      <c r="D66" s="15"/>
      <c r="E66" s="22"/>
      <c r="F66" s="15"/>
      <c r="G66" s="15"/>
      <c r="H66" s="16"/>
      <c r="I66" s="15"/>
      <c r="J66" s="6"/>
      <c r="K66" s="1"/>
      <c r="L66" s="1"/>
      <c r="M66" s="1"/>
    </row>
    <row r="67" spans="1:13" ht="15.95" customHeight="1" x14ac:dyDescent="0.25">
      <c r="B67" s="12"/>
      <c r="J67" s="9"/>
    </row>
    <row r="68" spans="1:13" s="5" customFormat="1" ht="15.95" customHeight="1" x14ac:dyDescent="0.25">
      <c r="A68" s="1"/>
      <c r="B68" s="12"/>
      <c r="C68" s="10" t="s">
        <v>74</v>
      </c>
      <c r="D68" s="8"/>
      <c r="E68" s="1"/>
      <c r="F68" s="1"/>
      <c r="G68" s="1"/>
      <c r="H68" s="11"/>
      <c r="I68" s="1"/>
      <c r="J68" s="9"/>
      <c r="K68" s="1"/>
      <c r="L68" s="1"/>
      <c r="M68" s="1"/>
    </row>
    <row r="69" spans="1:13" s="5" customFormat="1" ht="15.95" customHeight="1" x14ac:dyDescent="0.25">
      <c r="A69" s="1"/>
      <c r="B69" s="12"/>
      <c r="C69" s="1" t="s">
        <v>75</v>
      </c>
      <c r="D69" s="1"/>
      <c r="E69" s="17">
        <v>15</v>
      </c>
      <c r="F69" s="82" t="s">
        <v>76</v>
      </c>
      <c r="G69" s="1"/>
      <c r="H69" s="135" t="s">
        <v>35</v>
      </c>
      <c r="I69" s="1"/>
      <c r="J69" s="9"/>
      <c r="K69" s="1"/>
      <c r="L69" s="1"/>
      <c r="M69" s="1"/>
    </row>
    <row r="70" spans="1:13" s="5" customFormat="1" ht="15.95" customHeight="1" x14ac:dyDescent="0.25">
      <c r="A70" s="1"/>
      <c r="B70" s="12"/>
      <c r="C70" s="1" t="s">
        <v>77</v>
      </c>
      <c r="D70" s="1"/>
      <c r="E70" s="17">
        <v>625</v>
      </c>
      <c r="F70" s="1" t="s">
        <v>60</v>
      </c>
      <c r="G70" s="1"/>
      <c r="H70" s="11"/>
      <c r="I70" s="1"/>
      <c r="J70" s="9"/>
      <c r="K70" s="1"/>
      <c r="L70" s="1"/>
      <c r="M70" s="1"/>
    </row>
    <row r="71" spans="1:13" s="5" customFormat="1" ht="15.95" customHeight="1" x14ac:dyDescent="0.25">
      <c r="A71" s="1"/>
      <c r="B71" s="12"/>
      <c r="C71" s="1" t="s">
        <v>78</v>
      </c>
      <c r="D71" s="1"/>
      <c r="E71" s="17">
        <v>675</v>
      </c>
      <c r="F71" s="1" t="s">
        <v>79</v>
      </c>
      <c r="G71" s="1"/>
      <c r="H71" s="11"/>
      <c r="I71" s="1"/>
      <c r="J71" s="9"/>
      <c r="K71" s="1"/>
      <c r="L71" s="1"/>
      <c r="M71" s="1"/>
    </row>
    <row r="72" spans="1:13" s="5" customFormat="1" ht="15.95" customHeight="1" x14ac:dyDescent="0.25">
      <c r="A72" s="1"/>
      <c r="B72" s="14"/>
      <c r="C72" s="15" t="s">
        <v>80</v>
      </c>
      <c r="D72" s="15"/>
      <c r="E72" s="181">
        <f>200</f>
        <v>200</v>
      </c>
      <c r="F72" s="1" t="s">
        <v>79</v>
      </c>
      <c r="G72" s="15"/>
      <c r="H72" s="16" t="s">
        <v>81</v>
      </c>
      <c r="I72" s="15"/>
      <c r="J72" s="6"/>
      <c r="K72" s="1"/>
      <c r="L72" s="1"/>
      <c r="M72" s="1"/>
    </row>
    <row r="73" spans="1:13" ht="15.95" customHeight="1" x14ac:dyDescent="0.25">
      <c r="B73" s="12"/>
      <c r="E73" s="19"/>
      <c r="H73" s="11"/>
      <c r="J73" s="9"/>
    </row>
    <row r="74" spans="1:13" ht="17.25" x14ac:dyDescent="0.25">
      <c r="B74" s="12"/>
      <c r="C74" s="133" t="s">
        <v>82</v>
      </c>
      <c r="D74" s="8"/>
      <c r="E74" s="19"/>
      <c r="H74" s="11"/>
      <c r="J74" s="26"/>
      <c r="K74" s="27"/>
    </row>
    <row r="75" spans="1:13" ht="15.95" customHeight="1" x14ac:dyDescent="0.25">
      <c r="B75" s="12"/>
      <c r="C75" s="1" t="s">
        <v>75</v>
      </c>
      <c r="E75" s="19">
        <f>IF(F69="kr./m2",E22*E69,IF(F69="kr./år",E69,""))</f>
        <v>2850</v>
      </c>
      <c r="F75" s="1" t="s">
        <v>60</v>
      </c>
      <c r="H75" s="11"/>
      <c r="J75" s="26"/>
      <c r="K75" s="27"/>
    </row>
    <row r="76" spans="1:13" ht="15.95" customHeight="1" x14ac:dyDescent="0.25">
      <c r="B76" s="12"/>
      <c r="C76" s="1" t="s">
        <v>77</v>
      </c>
      <c r="E76" s="19">
        <f>E70</f>
        <v>625</v>
      </c>
      <c r="F76" s="1" t="s">
        <v>60</v>
      </c>
      <c r="H76" s="11"/>
      <c r="J76" s="28"/>
      <c r="K76" s="29"/>
    </row>
    <row r="77" spans="1:13" ht="15.95" customHeight="1" x14ac:dyDescent="0.25">
      <c r="B77" s="12"/>
      <c r="C77" s="1" t="s">
        <v>78</v>
      </c>
      <c r="E77" s="19">
        <f>E38/1000*(E71)</f>
        <v>14257.729030015495</v>
      </c>
      <c r="F77" s="1" t="s">
        <v>8</v>
      </c>
      <c r="H77" s="11"/>
      <c r="J77" s="28"/>
      <c r="K77" s="29"/>
    </row>
    <row r="78" spans="1:13" ht="15.95" customHeight="1" x14ac:dyDescent="0.25">
      <c r="B78" s="12"/>
      <c r="C78" s="1" t="s">
        <v>83</v>
      </c>
      <c r="E78" s="183">
        <f>E72*E38/1000</f>
        <v>4224.5123051897763</v>
      </c>
      <c r="F78" s="1" t="s">
        <v>60</v>
      </c>
      <c r="H78" s="11"/>
      <c r="J78" s="28"/>
      <c r="K78" s="29"/>
    </row>
    <row r="79" spans="1:13" ht="15.95" customHeight="1" x14ac:dyDescent="0.25">
      <c r="B79" s="12"/>
      <c r="C79" s="1" t="s">
        <v>84</v>
      </c>
      <c r="E79" s="23">
        <v>0</v>
      </c>
      <c r="F79" s="1" t="s">
        <v>60</v>
      </c>
      <c r="H79" s="11"/>
      <c r="J79" s="30"/>
      <c r="K79" s="31"/>
    </row>
    <row r="80" spans="1:13" ht="15.95" customHeight="1" x14ac:dyDescent="0.25">
      <c r="B80" s="12"/>
      <c r="C80" s="32" t="s">
        <v>64</v>
      </c>
      <c r="D80" s="32"/>
      <c r="E80" s="33">
        <f>SUM(E75:E79)</f>
        <v>21957.241335205268</v>
      </c>
      <c r="F80" s="32" t="s">
        <v>8</v>
      </c>
      <c r="H80" s="11"/>
      <c r="J80" s="26"/>
      <c r="K80" s="27"/>
    </row>
    <row r="81" spans="1:13" ht="15.95" customHeight="1" x14ac:dyDescent="0.25">
      <c r="B81" s="12"/>
      <c r="E81" s="19"/>
      <c r="H81" s="11"/>
      <c r="J81" s="26"/>
      <c r="K81" s="27"/>
    </row>
    <row r="82" spans="1:13" ht="15.95" customHeight="1" x14ac:dyDescent="0.25">
      <c r="B82" s="12"/>
      <c r="C82" s="8" t="s">
        <v>85</v>
      </c>
      <c r="D82" s="115" t="s">
        <v>86</v>
      </c>
      <c r="E82" s="23">
        <v>200</v>
      </c>
      <c r="F82" s="1" t="str">
        <f>IF(D82="Ja","kr./måned","Anvendes ikke")</f>
        <v>kr./måned</v>
      </c>
      <c r="H82" s="191" t="str">
        <f>IF(OR(D82="Ja",D83="Ja"),"Husk: Tilpas de af nedenstående investeringsom-kostninger samt service og vedligehold herover, som evt. dækkes af abonnementet eller tillægget. Værdierne er makeret med rød tekstfarve.","")</f>
        <v>Husk: Tilpas de af nedenstående investeringsom-kostninger samt service og vedligehold herover, som evt. dækkes af abonnementet eller tillægget. Værdierne er makeret med rød tekstfarve.</v>
      </c>
      <c r="I82" s="191"/>
      <c r="J82" s="192"/>
      <c r="K82" s="27"/>
    </row>
    <row r="83" spans="1:13" ht="15.95" customHeight="1" x14ac:dyDescent="0.25">
      <c r="B83" s="12"/>
      <c r="C83" s="8" t="s">
        <v>87</v>
      </c>
      <c r="D83" s="115" t="s">
        <v>88</v>
      </c>
      <c r="E83" s="23">
        <v>250</v>
      </c>
      <c r="F83" s="1" t="str">
        <f>IF(D83="Ja","kr./måned","Anvendes ikke")</f>
        <v>Anvendes ikke</v>
      </c>
      <c r="H83" s="191"/>
      <c r="I83" s="191"/>
      <c r="J83" s="192"/>
      <c r="K83" s="27"/>
    </row>
    <row r="84" spans="1:13" ht="15.95" customHeight="1" x14ac:dyDescent="0.25">
      <c r="B84" s="12"/>
      <c r="C84" s="1" t="s">
        <v>89</v>
      </c>
      <c r="D84" s="151"/>
      <c r="E84" s="23">
        <v>10</v>
      </c>
      <c r="F84" s="1" t="s">
        <v>90</v>
      </c>
      <c r="H84" s="191"/>
      <c r="I84" s="191"/>
      <c r="J84" s="192"/>
      <c r="K84" s="27"/>
    </row>
    <row r="85" spans="1:13" ht="15.95" customHeight="1" x14ac:dyDescent="0.25">
      <c r="B85" s="12"/>
      <c r="D85" s="136"/>
      <c r="E85" s="137"/>
      <c r="F85" s="120"/>
      <c r="H85" s="191"/>
      <c r="I85" s="191"/>
      <c r="J85" s="192"/>
      <c r="K85" s="27"/>
    </row>
    <row r="86" spans="1:13" s="5" customFormat="1" ht="15.95" customHeight="1" x14ac:dyDescent="0.25">
      <c r="A86" s="1"/>
      <c r="B86" s="12"/>
      <c r="C86" s="8" t="s">
        <v>91</v>
      </c>
      <c r="D86" s="1"/>
      <c r="E86" s="1"/>
      <c r="F86" s="1"/>
      <c r="G86" s="1"/>
      <c r="H86" s="24"/>
      <c r="I86" s="1"/>
      <c r="J86" s="9"/>
      <c r="K86" s="1"/>
      <c r="L86" s="1"/>
      <c r="M86" s="1"/>
    </row>
    <row r="87" spans="1:13" s="5" customFormat="1" ht="15.95" customHeight="1" x14ac:dyDescent="0.25">
      <c r="A87" s="1"/>
      <c r="B87" s="12"/>
      <c r="C87" s="8"/>
      <c r="D87" s="1"/>
      <c r="E87" s="1"/>
      <c r="F87" s="1"/>
      <c r="G87" s="1"/>
      <c r="H87" s="24"/>
      <c r="I87" s="1"/>
      <c r="J87" s="9"/>
      <c r="K87" s="1"/>
      <c r="L87" s="1"/>
      <c r="M87" s="1"/>
    </row>
    <row r="88" spans="1:13" s="5" customFormat="1" ht="15.95" customHeight="1" x14ac:dyDescent="0.25">
      <c r="A88" s="1"/>
      <c r="B88" s="12"/>
      <c r="C88" s="1" t="s">
        <v>92</v>
      </c>
      <c r="D88" s="1"/>
      <c r="E88" s="23">
        <v>0</v>
      </c>
      <c r="F88" s="1" t="s">
        <v>11</v>
      </c>
      <c r="G88" s="1"/>
      <c r="H88" s="24"/>
      <c r="I88" s="1"/>
      <c r="J88" s="9"/>
      <c r="K88" s="1"/>
      <c r="L88" s="1"/>
      <c r="M88" s="1"/>
    </row>
    <row r="89" spans="1:13" s="5" customFormat="1" ht="15.95" customHeight="1" x14ac:dyDescent="0.25">
      <c r="A89" s="1"/>
      <c r="B89" s="12"/>
      <c r="C89" s="1" t="s">
        <v>93</v>
      </c>
      <c r="D89" s="1"/>
      <c r="E89" s="23">
        <v>25000</v>
      </c>
      <c r="F89" s="1" t="s">
        <v>11</v>
      </c>
      <c r="G89" s="1"/>
      <c r="H89" s="130" t="s">
        <v>94</v>
      </c>
      <c r="I89" s="1"/>
      <c r="J89" s="9"/>
      <c r="K89" s="1"/>
      <c r="L89" s="1"/>
      <c r="M89" s="1"/>
    </row>
    <row r="90" spans="1:13" s="5" customFormat="1" ht="15.95" hidden="1" customHeight="1" x14ac:dyDescent="0.25">
      <c r="A90" s="1"/>
      <c r="B90" s="12"/>
      <c r="C90" s="113" t="s">
        <v>95</v>
      </c>
      <c r="D90" s="1"/>
      <c r="E90" s="114">
        <v>0</v>
      </c>
      <c r="F90" s="24" t="s">
        <v>11</v>
      </c>
      <c r="G90" s="1"/>
      <c r="H90" s="24" t="s">
        <v>96</v>
      </c>
      <c r="I90" s="1"/>
      <c r="J90" s="9"/>
      <c r="K90" s="1"/>
      <c r="L90" s="1"/>
      <c r="M90" s="1"/>
    </row>
    <row r="91" spans="1:13" s="5" customFormat="1" ht="15.95" customHeight="1" x14ac:dyDescent="0.25">
      <c r="A91" s="1"/>
      <c r="B91" s="12"/>
      <c r="C91" s="1" t="s">
        <v>97</v>
      </c>
      <c r="D91" s="1"/>
      <c r="E91" s="23">
        <v>0</v>
      </c>
      <c r="F91" s="1" t="s">
        <v>11</v>
      </c>
      <c r="G91" s="1"/>
      <c r="H91" s="24" t="s">
        <v>98</v>
      </c>
      <c r="I91" s="1"/>
      <c r="J91" s="9"/>
      <c r="K91" s="1"/>
      <c r="L91" s="1"/>
      <c r="M91" s="1"/>
    </row>
    <row r="92" spans="1:13" s="5" customFormat="1" ht="15.95" customHeight="1" x14ac:dyDescent="0.25">
      <c r="A92" s="1"/>
      <c r="B92" s="12"/>
      <c r="C92" s="1"/>
      <c r="D92" s="1"/>
      <c r="E92" s="19"/>
      <c r="F92" s="1"/>
      <c r="G92" s="1"/>
      <c r="H92" s="24"/>
      <c r="I92" s="1"/>
      <c r="J92" s="9"/>
      <c r="K92" s="1"/>
      <c r="L92" s="1"/>
      <c r="M92" s="1"/>
    </row>
    <row r="93" spans="1:13" s="5" customFormat="1" ht="15.95" customHeight="1" x14ac:dyDescent="0.25">
      <c r="A93" s="1"/>
      <c r="B93" s="12"/>
      <c r="C93" s="1" t="s">
        <v>99</v>
      </c>
      <c r="D93" s="1"/>
      <c r="E93" s="19">
        <f>E88+E89-E90*0.26+E91</f>
        <v>25000</v>
      </c>
      <c r="F93" s="1" t="s">
        <v>11</v>
      </c>
      <c r="G93" s="1"/>
      <c r="H93" s="193" t="s">
        <v>100</v>
      </c>
      <c r="I93" s="193"/>
      <c r="J93" s="194"/>
      <c r="K93" s="1"/>
      <c r="L93" s="1"/>
      <c r="M93" s="1"/>
    </row>
    <row r="94" spans="1:13" s="5" customFormat="1" ht="15.95" customHeight="1" x14ac:dyDescent="0.25">
      <c r="A94" s="1"/>
      <c r="B94" s="12"/>
      <c r="C94" s="1" t="s">
        <v>101</v>
      </c>
      <c r="D94" s="1"/>
      <c r="E94" s="23">
        <v>30</v>
      </c>
      <c r="F94" s="1" t="s">
        <v>13</v>
      </c>
      <c r="G94" s="1"/>
      <c r="H94" s="193"/>
      <c r="I94" s="193"/>
      <c r="J94" s="194"/>
      <c r="K94" s="1"/>
      <c r="L94" s="1"/>
      <c r="M94" s="1"/>
    </row>
    <row r="95" spans="1:13" s="5" customFormat="1" ht="15.95" customHeight="1" x14ac:dyDescent="0.25">
      <c r="A95" s="1"/>
      <c r="B95" s="12"/>
      <c r="C95" s="1" t="s">
        <v>102</v>
      </c>
      <c r="D95" s="54">
        <f>D53</f>
        <v>0.05</v>
      </c>
      <c r="E95" s="129">
        <f>IF(E94=1,E93,IFERROR(-PMT(D95,E94,E93),"0"))</f>
        <v>1626.2858770069145</v>
      </c>
      <c r="F95" s="32" t="str">
        <f>"kr./år i "&amp; E94&amp;" år"</f>
        <v>kr./år i 30 år</v>
      </c>
      <c r="G95" s="1"/>
      <c r="H95" s="193"/>
      <c r="I95" s="193"/>
      <c r="J95" s="194"/>
      <c r="K95" s="1"/>
      <c r="L95" s="1"/>
      <c r="M95" s="1"/>
    </row>
    <row r="96" spans="1:13" s="5" customFormat="1" ht="15.95" customHeight="1" x14ac:dyDescent="0.25">
      <c r="A96" s="1"/>
      <c r="B96" s="12"/>
      <c r="C96" s="1"/>
      <c r="D96" s="1"/>
      <c r="E96" s="19"/>
      <c r="F96" s="1"/>
      <c r="G96" s="1"/>
      <c r="H96" s="104"/>
      <c r="I96" s="104"/>
      <c r="J96" s="105"/>
      <c r="K96" s="1"/>
      <c r="L96" s="1"/>
      <c r="M96" s="1"/>
    </row>
    <row r="97" spans="1:13" s="5" customFormat="1" ht="15.95" customHeight="1" x14ac:dyDescent="0.25">
      <c r="A97" s="1"/>
      <c r="B97" s="12"/>
      <c r="C97" s="8" t="s">
        <v>103</v>
      </c>
      <c r="D97" s="1"/>
      <c r="E97" s="23">
        <v>0</v>
      </c>
      <c r="F97" s="1" t="s">
        <v>11</v>
      </c>
      <c r="G97" s="1"/>
      <c r="H97" s="24"/>
      <c r="I97" s="1"/>
      <c r="J97" s="9"/>
      <c r="K97" s="1"/>
      <c r="L97" s="1"/>
      <c r="M97" s="1"/>
    </row>
    <row r="98" spans="1:13" s="5" customFormat="1" ht="15.95" customHeight="1" x14ac:dyDescent="0.25">
      <c r="A98" s="1"/>
      <c r="B98" s="12"/>
      <c r="C98" s="113" t="s">
        <v>104</v>
      </c>
      <c r="D98" s="1"/>
      <c r="E98" s="114">
        <v>0</v>
      </c>
      <c r="F98" s="24" t="s">
        <v>11</v>
      </c>
      <c r="G98" s="1"/>
      <c r="H98" s="24" t="s">
        <v>105</v>
      </c>
      <c r="I98" s="1"/>
      <c r="J98" s="9"/>
      <c r="K98" s="1"/>
      <c r="L98" s="1"/>
      <c r="M98" s="1"/>
    </row>
    <row r="99" spans="1:13" s="5" customFormat="1" ht="15.95" customHeight="1" x14ac:dyDescent="0.25">
      <c r="A99" s="1"/>
      <c r="B99" s="12"/>
      <c r="C99" s="1" t="s">
        <v>106</v>
      </c>
      <c r="D99" s="1"/>
      <c r="E99" s="19">
        <f>E97-E98*0.26</f>
        <v>0</v>
      </c>
      <c r="F99" s="1" t="s">
        <v>11</v>
      </c>
      <c r="G99" s="1"/>
      <c r="H99" s="24"/>
      <c r="I99" s="1"/>
      <c r="J99" s="9"/>
      <c r="K99" s="1"/>
      <c r="L99" s="1"/>
      <c r="M99" s="1"/>
    </row>
    <row r="100" spans="1:13" s="5" customFormat="1" ht="15.95" customHeight="1" x14ac:dyDescent="0.25">
      <c r="A100" s="1"/>
      <c r="B100" s="12"/>
      <c r="C100" s="1" t="s">
        <v>107</v>
      </c>
      <c r="D100" s="1"/>
      <c r="E100" s="183">
        <v>30</v>
      </c>
      <c r="F100" s="1" t="s">
        <v>13</v>
      </c>
      <c r="G100" s="1"/>
      <c r="H100" s="11"/>
      <c r="I100" s="1"/>
      <c r="J100" s="9"/>
      <c r="K100" s="1"/>
      <c r="L100" s="1"/>
      <c r="M100" s="1"/>
    </row>
    <row r="101" spans="1:13" s="5" customFormat="1" ht="15.95" customHeight="1" x14ac:dyDescent="0.25">
      <c r="A101" s="1"/>
      <c r="B101" s="12"/>
      <c r="C101" s="1" t="s">
        <v>108</v>
      </c>
      <c r="D101" s="54">
        <f>D95</f>
        <v>0.05</v>
      </c>
      <c r="E101" s="129">
        <f>IF(E100=1,E99,IFERROR(-PMT(D101,E100,E99),"0"))</f>
        <v>0</v>
      </c>
      <c r="F101" s="32" t="str">
        <f>"kr./år i "&amp; E100&amp;" år"</f>
        <v>kr./år i 30 år</v>
      </c>
      <c r="G101" s="1"/>
      <c r="H101" s="19"/>
      <c r="I101" s="1"/>
      <c r="J101" s="9"/>
      <c r="K101" s="1"/>
      <c r="L101" s="1"/>
      <c r="M101" s="1"/>
    </row>
    <row r="102" spans="1:13" s="5" customFormat="1" ht="15.95" customHeight="1" x14ac:dyDescent="0.25">
      <c r="A102" s="1"/>
      <c r="B102" s="12"/>
      <c r="C102" s="1"/>
      <c r="D102" s="52"/>
      <c r="E102" s="19"/>
      <c r="F102" s="1"/>
      <c r="G102" s="1"/>
      <c r="H102" s="195" t="s">
        <v>109</v>
      </c>
      <c r="I102" s="195"/>
      <c r="J102" s="196"/>
      <c r="K102" s="1"/>
      <c r="L102" s="1"/>
      <c r="M102" s="1"/>
    </row>
    <row r="103" spans="1:13" s="5" customFormat="1" ht="15.95" customHeight="1" x14ac:dyDescent="0.25">
      <c r="A103" s="1"/>
      <c r="B103" s="12"/>
      <c r="C103" s="1" t="s">
        <v>110</v>
      </c>
      <c r="D103" s="1"/>
      <c r="E103" s="23">
        <v>0</v>
      </c>
      <c r="F103" s="1" t="s">
        <v>11</v>
      </c>
      <c r="G103" s="1"/>
      <c r="H103" s="195"/>
      <c r="I103" s="195"/>
      <c r="J103" s="196"/>
      <c r="K103" s="1"/>
      <c r="L103" s="1"/>
      <c r="M103" s="1"/>
    </row>
    <row r="104" spans="1:13" s="5" customFormat="1" ht="15.95" customHeight="1" x14ac:dyDescent="0.25">
      <c r="A104" s="1"/>
      <c r="B104" s="12"/>
      <c r="C104" s="1" t="s">
        <v>69</v>
      </c>
      <c r="D104" s="1"/>
      <c r="E104" s="23">
        <v>30</v>
      </c>
      <c r="F104" s="1" t="s">
        <v>13</v>
      </c>
      <c r="G104" s="1"/>
      <c r="H104" s="195"/>
      <c r="I104" s="195"/>
      <c r="J104" s="196"/>
      <c r="K104" s="1"/>
      <c r="L104" s="1"/>
      <c r="M104" s="1"/>
    </row>
    <row r="105" spans="1:13" s="5" customFormat="1" ht="15.95" customHeight="1" x14ac:dyDescent="0.25">
      <c r="A105" s="1"/>
      <c r="B105" s="12"/>
      <c r="C105" s="1" t="s">
        <v>71</v>
      </c>
      <c r="D105" s="54">
        <f>D95</f>
        <v>0.05</v>
      </c>
      <c r="E105" s="184">
        <f>IF(E104=1,E103,IFERROR(-PMT(D105,E104,E103),"0"))-E78</f>
        <v>-4224.5123051897763</v>
      </c>
      <c r="F105" s="32" t="str">
        <f>"kr./år i "&amp; E104&amp;" år"</f>
        <v>kr./år i 30 år</v>
      </c>
      <c r="G105" s="1"/>
      <c r="H105" s="195"/>
      <c r="I105" s="195"/>
      <c r="J105" s="196"/>
      <c r="K105" s="1"/>
      <c r="L105" s="1"/>
      <c r="M105" s="1"/>
    </row>
    <row r="106" spans="1:13" s="5" customFormat="1" ht="15.95" customHeight="1" x14ac:dyDescent="0.25">
      <c r="A106" s="1"/>
      <c r="B106" s="12"/>
      <c r="C106" s="1"/>
      <c r="D106" s="52"/>
      <c r="E106" s="19"/>
      <c r="F106" s="1"/>
      <c r="G106" s="1"/>
      <c r="H106" s="195"/>
      <c r="I106" s="195"/>
      <c r="J106" s="196"/>
      <c r="K106" s="1"/>
      <c r="L106" s="1"/>
      <c r="M106" s="1"/>
    </row>
    <row r="107" spans="1:13" s="5" customFormat="1" ht="15.95" customHeight="1" x14ac:dyDescent="0.25">
      <c r="A107" s="1"/>
      <c r="B107" s="12"/>
      <c r="C107" s="8" t="s">
        <v>111</v>
      </c>
      <c r="D107" s="52"/>
      <c r="E107" s="19"/>
      <c r="F107" s="1"/>
      <c r="G107" s="1"/>
      <c r="H107" s="1"/>
      <c r="I107" s="1"/>
      <c r="J107" s="9"/>
      <c r="K107" s="1"/>
      <c r="L107" s="1"/>
      <c r="M107" s="1"/>
    </row>
    <row r="108" spans="1:13" s="5" customFormat="1" ht="15.95" customHeight="1" x14ac:dyDescent="0.25">
      <c r="A108" s="1"/>
      <c r="B108" s="12"/>
      <c r="C108" s="152" t="str">
        <f>'Tabel resultat'!J15</f>
        <v>Ved tilslutning (år 1)</v>
      </c>
      <c r="D108" s="32"/>
      <c r="E108" s="33">
        <f>E80+E95+E101+IF(D82="Ja",E82*12,0)+IF(D83="Ja",E83*12)</f>
        <v>25983.527212212182</v>
      </c>
      <c r="F108" s="32" t="s">
        <v>8</v>
      </c>
      <c r="G108" s="1"/>
      <c r="H108" s="195" t="str">
        <f>IF(OR($D$82="Ja",$D$83="Ja"),"Bemærk: Abonnementsbidrag og/eller område- eller tilslutningstillæg er aktiveret og indregnet.","")</f>
        <v>Bemærk: Abonnementsbidrag og/eller område- eller tilslutningstillæg er aktiveret og indregnet.</v>
      </c>
      <c r="I108" s="195"/>
      <c r="J108" s="196"/>
      <c r="K108" s="1"/>
      <c r="L108" s="1"/>
      <c r="M108" s="1"/>
    </row>
    <row r="109" spans="1:13" s="5" customFormat="1" ht="15.95" customHeight="1" x14ac:dyDescent="0.25">
      <c r="A109" s="1"/>
      <c r="B109" s="12"/>
      <c r="C109" s="152" t="str">
        <f ca="1">"   "&amp;'Tabel resultat'!J21</f>
        <v xml:space="preserve">   Efter afskrevne tilslutningsbidrag om 30 år</v>
      </c>
      <c r="D109" s="32"/>
      <c r="E109" s="33">
        <f ca="1">'Tabel resultat'!I21</f>
        <v>20132.729030015493</v>
      </c>
      <c r="F109" s="32" t="s">
        <v>8</v>
      </c>
      <c r="G109" s="1"/>
      <c r="H109" s="195"/>
      <c r="I109" s="195"/>
      <c r="J109" s="196"/>
      <c r="K109" s="1"/>
      <c r="L109" s="1"/>
      <c r="M109" s="1"/>
    </row>
    <row r="110" spans="1:13" s="5" customFormat="1" ht="15.95" customHeight="1" x14ac:dyDescent="0.25">
      <c r="A110" s="1"/>
      <c r="B110" s="12"/>
      <c r="C110" s="152" t="str">
        <f ca="1">"   "&amp;'Tabel resultat'!J22</f>
        <v xml:space="preserve">   Efter levetidsforlængelse eller ny unit om 30 år</v>
      </c>
      <c r="D110" s="32"/>
      <c r="E110" s="33">
        <f ca="1">'Tabel resultat'!I22</f>
        <v>20132.729030015493</v>
      </c>
      <c r="F110" s="32" t="s">
        <v>8</v>
      </c>
      <c r="G110" s="1"/>
      <c r="H110" s="1"/>
      <c r="I110" s="1"/>
      <c r="J110" s="9"/>
      <c r="K110" s="1"/>
      <c r="L110" s="1"/>
      <c r="M110" s="1"/>
    </row>
    <row r="111" spans="1:13" s="5" customFormat="1" ht="15.95" customHeight="1" x14ac:dyDescent="0.25">
      <c r="A111" s="1"/>
      <c r="B111" s="12"/>
      <c r="C111" s="152" t="str">
        <f ca="1">"   "&amp;'Tabel resultat'!J23</f>
        <v xml:space="preserve">   </v>
      </c>
      <c r="D111" s="32"/>
      <c r="E111" s="33">
        <f ca="1">'Tabel resultat'!I23</f>
        <v>0</v>
      </c>
      <c r="F111" s="32" t="s">
        <v>8</v>
      </c>
      <c r="G111" s="1"/>
      <c r="H111" s="1"/>
      <c r="I111" s="1"/>
      <c r="J111" s="9"/>
      <c r="K111" s="1"/>
      <c r="L111" s="1"/>
      <c r="M111" s="1"/>
    </row>
    <row r="112" spans="1:13" ht="15.95" customHeight="1" x14ac:dyDescent="0.25">
      <c r="B112" s="12"/>
      <c r="E112" s="19"/>
      <c r="J112" s="9"/>
    </row>
    <row r="113" spans="1:13" ht="15.95" customHeight="1" x14ac:dyDescent="0.25">
      <c r="B113" s="12"/>
      <c r="C113" s="121" t="s">
        <v>112</v>
      </c>
      <c r="D113" s="32"/>
      <c r="E113" s="32"/>
      <c r="F113" s="32"/>
      <c r="I113" s="173"/>
      <c r="J113" s="174"/>
    </row>
    <row r="114" spans="1:13" ht="15.95" customHeight="1" x14ac:dyDescent="0.25">
      <c r="B114" s="12"/>
      <c r="C114" s="152" t="str">
        <f>'Tabel resultat'!J34</f>
        <v>Ved tilslutning (år 1)</v>
      </c>
      <c r="D114" s="32"/>
      <c r="E114" s="33">
        <f>'Tabel resultat'!I34</f>
        <v>1793.1110526987432</v>
      </c>
      <c r="F114" s="32" t="s">
        <v>8</v>
      </c>
      <c r="H114" s="195" t="str">
        <f>IF(OR($D$82="Ja",$D$83="Ja"),"Bemærk: Abonnementsbidrag og/eller område- eller tilslutningstillæg er aktiveret og indregnet.","")</f>
        <v>Bemærk: Abonnementsbidrag og/eller område- eller tilslutningstillæg er aktiveret og indregnet.</v>
      </c>
      <c r="I114" s="195"/>
      <c r="J114" s="196"/>
    </row>
    <row r="115" spans="1:13" ht="15.95" customHeight="1" x14ac:dyDescent="0.25">
      <c r="B115" s="12"/>
      <c r="C115" s="152" t="str">
        <f ca="1">"   "&amp;'Tabel resultat'!J35</f>
        <v xml:space="preserve">   Efter investering i ny gaskedel om 2 år</v>
      </c>
      <c r="D115" s="32"/>
      <c r="E115" s="33">
        <f ca="1">'Tabel resultat'!I35</f>
        <v>4601.6016043729396</v>
      </c>
      <c r="F115" s="32" t="s">
        <v>8</v>
      </c>
      <c r="H115" s="195"/>
      <c r="I115" s="195"/>
      <c r="J115" s="196"/>
    </row>
    <row r="116" spans="1:13" ht="15.95" customHeight="1" x14ac:dyDescent="0.25">
      <c r="B116" s="12"/>
      <c r="C116" s="152" t="str">
        <f ca="1">"      "&amp;'Tabel resultat'!J36</f>
        <v xml:space="preserve">      Efter afskrevne tilslutningsbidrag om 30 år</v>
      </c>
      <c r="D116" s="32"/>
      <c r="E116" s="33">
        <f ca="1">'Tabel resultat'!I36</f>
        <v>10452.399786569629</v>
      </c>
      <c r="F116" s="32" t="s">
        <v>8</v>
      </c>
      <c r="H116" s="173"/>
      <c r="I116" s="173"/>
      <c r="J116" s="174"/>
    </row>
    <row r="117" spans="1:13" ht="15.95" customHeight="1" x14ac:dyDescent="0.25">
      <c r="B117" s="12"/>
      <c r="C117" s="152" t="str">
        <f ca="1">"         "&amp;'Tabel resultat'!J37</f>
        <v xml:space="preserve">         Efter levetidsforlængelse eller ny unit om 30 år</v>
      </c>
      <c r="D117" s="32"/>
      <c r="E117" s="33">
        <f ca="1">'Tabel resultat'!I37</f>
        <v>10452.399786569629</v>
      </c>
      <c r="F117" s="32" t="s">
        <v>8</v>
      </c>
      <c r="H117" s="173"/>
      <c r="I117" s="173"/>
      <c r="J117" s="174"/>
    </row>
    <row r="118" spans="1:13" ht="15.95" customHeight="1" x14ac:dyDescent="0.25">
      <c r="B118" s="12"/>
      <c r="C118" s="152" t="str">
        <f ca="1">"            "&amp;'Tabel resultat'!J38</f>
        <v xml:space="preserve">            </v>
      </c>
      <c r="D118" s="32"/>
      <c r="E118" s="33" t="str">
        <f ca="1">'Tabel resultat'!I38</f>
        <v/>
      </c>
      <c r="F118" s="32" t="s">
        <v>8</v>
      </c>
      <c r="H118" s="173"/>
      <c r="I118" s="173"/>
      <c r="J118" s="174"/>
    </row>
    <row r="119" spans="1:13" ht="15.95" customHeight="1" x14ac:dyDescent="0.25">
      <c r="B119" s="12"/>
      <c r="J119" s="9"/>
    </row>
    <row r="120" spans="1:13" ht="15.95" customHeight="1" x14ac:dyDescent="0.25">
      <c r="B120" s="12"/>
      <c r="C120" s="121" t="s">
        <v>113</v>
      </c>
      <c r="D120" s="32"/>
      <c r="E120" s="33">
        <f>IF(AND(D82="Ja",D83="Ja"),E47-(E80+E82*12+E83*12),IF(D82="Ja",E47-(E80+E82*12),IF(D83="Ja",E47-(E80+E83*12),E47-E80)))</f>
        <v>3419.3969297056574</v>
      </c>
      <c r="F120" s="32" t="s">
        <v>8</v>
      </c>
      <c r="H120" s="24" t="str">
        <f>IF(OR(D82="Ja",D83="Ja"),"Bemærk: Abonnement og/eller tillæg er indregnet.","")</f>
        <v>Bemærk: Abonnement og/eller tillæg er indregnet.</v>
      </c>
      <c r="J120" s="9"/>
    </row>
    <row r="121" spans="1:13" ht="15.95" customHeight="1" x14ac:dyDescent="0.25">
      <c r="B121" s="12"/>
      <c r="C121" s="32" t="s">
        <v>114</v>
      </c>
      <c r="D121" s="32"/>
      <c r="E121" s="154">
        <f>ROUND(E120/E47*100,1)</f>
        <v>12.3</v>
      </c>
      <c r="F121" s="32" t="s">
        <v>45</v>
      </c>
      <c r="H121" s="24"/>
      <c r="J121" s="9"/>
    </row>
    <row r="122" spans="1:13" ht="15.95" customHeight="1" x14ac:dyDescent="0.25">
      <c r="B122" s="12"/>
      <c r="C122" s="32" t="s">
        <v>12</v>
      </c>
      <c r="D122" s="32"/>
      <c r="E122" s="129">
        <f>IF(((E93+E99)/E120)&lt;=0,"Tjent hjem fra start. 0",(E99+E93)/E120)</f>
        <v>7.3112307561649494</v>
      </c>
      <c r="F122" s="32" t="s">
        <v>13</v>
      </c>
      <c r="H122" s="120" t="str">
        <f>"ift. "&amp;E99+E93&amp;" kr. (felt E91+E97)"</f>
        <v>ift. 25000 kr. (felt E91+E97)</v>
      </c>
      <c r="J122" s="9"/>
    </row>
    <row r="123" spans="1:13" s="5" customFormat="1" ht="15.95" customHeight="1" thickBot="1" x14ac:dyDescent="0.3">
      <c r="A123" s="1"/>
      <c r="B123" s="34"/>
      <c r="C123" s="138" t="s">
        <v>115</v>
      </c>
      <c r="D123" s="139"/>
      <c r="E123" s="155" t="str">
        <f>IF(((E93+E99-E51)/E120)&lt;0,"Tjent hjem fra start. 0",(E93+E99-E51)/E120)</f>
        <v>Tjent hjem fra start. 0</v>
      </c>
      <c r="F123" s="140" t="s">
        <v>13</v>
      </c>
      <c r="G123" s="35"/>
      <c r="H123" s="141" t="str">
        <f>"ift. "&amp;E93+E99&amp;" kr. (felt E91+E97) minus "&amp;E51&amp;" kr. (felt E51)"</f>
        <v>ift. 25000 kr. (felt E91+E97) minus 35000 kr. (felt E51)</v>
      </c>
      <c r="I123" s="35"/>
      <c r="J123" s="37"/>
      <c r="K123" s="1"/>
      <c r="L123" s="1"/>
      <c r="M123" s="1"/>
    </row>
    <row r="124" spans="1:13" s="5" customFormat="1" ht="15.95" customHeight="1" thickBot="1" x14ac:dyDescent="0.3">
      <c r="A124" s="1"/>
      <c r="B124" s="1"/>
      <c r="C124" s="1"/>
      <c r="D124" s="1"/>
      <c r="E124" s="19"/>
      <c r="F124" s="1"/>
      <c r="G124" s="1"/>
      <c r="H124" s="1"/>
      <c r="I124" s="1"/>
      <c r="J124" s="1"/>
      <c r="K124" s="1"/>
      <c r="L124" s="1"/>
      <c r="M124" s="1"/>
    </row>
    <row r="125" spans="1:13" s="5" customFormat="1" ht="37.5" customHeight="1" x14ac:dyDescent="0.25">
      <c r="A125" s="1"/>
      <c r="B125" s="2"/>
      <c r="C125" s="3"/>
      <c r="D125" s="3"/>
      <c r="E125" s="3"/>
      <c r="F125" s="3"/>
      <c r="G125" s="3"/>
      <c r="H125" s="3"/>
      <c r="I125" s="3"/>
      <c r="J125" s="4"/>
      <c r="K125" s="1"/>
      <c r="L125" s="1"/>
      <c r="M125" s="1"/>
    </row>
    <row r="126" spans="1:13" s="5" customFormat="1" ht="38.25" customHeight="1" thickBot="1" x14ac:dyDescent="0.3">
      <c r="A126" s="1"/>
      <c r="B126" s="34"/>
      <c r="C126" s="107"/>
      <c r="D126" s="107"/>
      <c r="E126" s="107"/>
      <c r="F126" s="107"/>
      <c r="G126" s="107"/>
      <c r="H126" s="107"/>
      <c r="I126" s="107"/>
      <c r="J126" s="37"/>
      <c r="K126" s="1"/>
      <c r="L126" s="1"/>
      <c r="M126" s="1"/>
    </row>
    <row r="127" spans="1:13" s="5" customFormat="1" ht="18" customHeight="1" x14ac:dyDescent="0.25">
      <c r="A127" s="1"/>
      <c r="B127" s="12"/>
      <c r="C127" s="51"/>
      <c r="D127" s="51"/>
      <c r="E127" s="51"/>
      <c r="F127" s="51"/>
      <c r="G127" s="51"/>
      <c r="H127" s="51"/>
      <c r="I127" s="51"/>
      <c r="J127" s="9"/>
      <c r="K127" s="1"/>
      <c r="L127" s="1"/>
      <c r="M127" s="1"/>
    </row>
    <row r="128" spans="1:13" s="5" customFormat="1" ht="15.95" customHeight="1" x14ac:dyDescent="0.25">
      <c r="A128" s="1"/>
      <c r="B128" s="12"/>
      <c r="C128" s="43" t="s">
        <v>116</v>
      </c>
      <c r="D128" s="8"/>
      <c r="E128" s="19"/>
      <c r="F128" s="1"/>
      <c r="G128" s="1"/>
      <c r="H128" s="11"/>
      <c r="I128" s="1"/>
      <c r="J128" s="9"/>
      <c r="K128" s="1"/>
      <c r="L128" s="1"/>
      <c r="M128" s="1"/>
    </row>
    <row r="129" spans="1:13" s="5" customFormat="1" ht="15.95" customHeight="1" x14ac:dyDescent="0.25">
      <c r="A129" s="1"/>
      <c r="B129" s="12"/>
      <c r="C129" s="190" t="s">
        <v>2</v>
      </c>
      <c r="D129" s="190"/>
      <c r="E129" s="190"/>
      <c r="F129" s="190"/>
      <c r="G129" s="190"/>
      <c r="H129" s="190"/>
      <c r="I129" s="190"/>
      <c r="J129" s="197"/>
      <c r="K129" s="68"/>
      <c r="L129" s="1"/>
      <c r="M129" s="1"/>
    </row>
    <row r="130" spans="1:13" s="5" customFormat="1" ht="15.95" customHeight="1" x14ac:dyDescent="0.25">
      <c r="A130" s="1"/>
      <c r="B130" s="12"/>
      <c r="C130" s="69" t="s">
        <v>16</v>
      </c>
      <c r="D130" s="18"/>
      <c r="E130" s="23"/>
      <c r="F130" s="18"/>
      <c r="G130" s="1"/>
      <c r="H130" s="11"/>
      <c r="I130" s="1"/>
      <c r="J130" s="9"/>
      <c r="K130" s="1"/>
      <c r="L130" s="1"/>
      <c r="M130" s="1"/>
    </row>
    <row r="131" spans="1:13" s="5" customFormat="1" ht="15.95" customHeight="1" x14ac:dyDescent="0.25">
      <c r="A131" s="1"/>
      <c r="B131" s="12"/>
      <c r="C131" s="86" t="s">
        <v>117</v>
      </c>
      <c r="D131" s="82"/>
      <c r="E131" s="87"/>
      <c r="F131" s="82"/>
      <c r="G131" s="1"/>
      <c r="H131" s="11"/>
      <c r="I131" s="1"/>
      <c r="J131" s="9"/>
      <c r="K131" s="1"/>
      <c r="L131" s="1"/>
      <c r="M131" s="1"/>
    </row>
    <row r="132" spans="1:13" s="5" customFormat="1" ht="15.95" customHeight="1" x14ac:dyDescent="0.25">
      <c r="A132" s="1"/>
      <c r="B132" s="14"/>
      <c r="C132" s="55"/>
      <c r="D132" s="15"/>
      <c r="E132" s="22"/>
      <c r="F132" s="15"/>
      <c r="G132" s="15"/>
      <c r="H132" s="16"/>
      <c r="I132" s="15"/>
      <c r="J132" s="6"/>
      <c r="K132" s="1"/>
      <c r="L132" s="1"/>
      <c r="M132" s="1"/>
    </row>
    <row r="133" spans="1:13" s="5" customFormat="1" ht="15.95" customHeight="1" x14ac:dyDescent="0.25">
      <c r="A133" s="1"/>
      <c r="B133" s="12"/>
      <c r="C133" s="1"/>
      <c r="D133" s="1"/>
      <c r="E133" s="19"/>
      <c r="F133" s="1"/>
      <c r="G133" s="1"/>
      <c r="H133" s="11"/>
      <c r="I133" s="1"/>
      <c r="J133" s="9"/>
      <c r="K133" s="1"/>
      <c r="L133" s="1"/>
      <c r="M133" s="1"/>
    </row>
    <row r="134" spans="1:13" s="5" customFormat="1" ht="15.95" customHeight="1" x14ac:dyDescent="0.25">
      <c r="A134" s="1"/>
      <c r="B134" s="12"/>
      <c r="C134" s="43" t="s">
        <v>118</v>
      </c>
      <c r="D134" s="8"/>
      <c r="E134" s="19"/>
      <c r="F134" s="1"/>
      <c r="G134" s="1"/>
      <c r="H134" s="11"/>
      <c r="I134" s="1"/>
      <c r="J134" s="9"/>
      <c r="K134" s="1"/>
      <c r="L134" s="1"/>
      <c r="M134" s="1"/>
    </row>
    <row r="135" spans="1:13" s="5" customFormat="1" ht="15.95" customHeight="1" x14ac:dyDescent="0.25">
      <c r="A135" s="1"/>
      <c r="B135" s="12"/>
      <c r="C135" s="1" t="s">
        <v>119</v>
      </c>
      <c r="D135" s="8"/>
      <c r="E135" s="84" t="s">
        <v>86</v>
      </c>
      <c r="F135" s="21" t="s">
        <v>35</v>
      </c>
      <c r="G135" s="1"/>
      <c r="H135" s="11"/>
      <c r="I135" s="1"/>
      <c r="J135" s="9"/>
      <c r="K135" s="1"/>
      <c r="L135" s="1"/>
      <c r="M135" s="1"/>
    </row>
    <row r="136" spans="1:13" s="5" customFormat="1" ht="15.95" customHeight="1" x14ac:dyDescent="0.25">
      <c r="A136" s="1"/>
      <c r="B136" s="12"/>
      <c r="C136" s="1"/>
      <c r="D136" s="8"/>
      <c r="E136" s="25"/>
      <c r="F136" s="21"/>
      <c r="G136" s="1"/>
      <c r="H136" s="11"/>
      <c r="I136" s="1"/>
      <c r="J136" s="9"/>
      <c r="K136" s="1"/>
      <c r="L136" s="1"/>
      <c r="M136" s="1"/>
    </row>
    <row r="137" spans="1:13" ht="15.95" customHeight="1" x14ac:dyDescent="0.25">
      <c r="B137" s="12"/>
      <c r="C137" s="1" t="s">
        <v>120</v>
      </c>
      <c r="E137" s="38">
        <v>2.8</v>
      </c>
      <c r="F137" s="1" t="s">
        <v>121</v>
      </c>
      <c r="H137" s="20" t="s">
        <v>122</v>
      </c>
      <c r="J137" s="9"/>
    </row>
    <row r="138" spans="1:13" ht="15.95" customHeight="1" x14ac:dyDescent="0.25">
      <c r="B138" s="12"/>
      <c r="C138" s="1" t="s">
        <v>123</v>
      </c>
      <c r="E138" s="19">
        <f>IFERROR(E38/E137,"")</f>
        <v>7543.7719735531718</v>
      </c>
      <c r="F138" s="1" t="s">
        <v>124</v>
      </c>
      <c r="J138" s="9"/>
    </row>
    <row r="139" spans="1:13" ht="15.95" customHeight="1" x14ac:dyDescent="0.25">
      <c r="B139" s="12"/>
      <c r="C139" s="1" t="s">
        <v>125</v>
      </c>
      <c r="E139" s="40">
        <v>0</v>
      </c>
      <c r="F139" s="1" t="s">
        <v>126</v>
      </c>
      <c r="H139" s="20" t="s">
        <v>127</v>
      </c>
      <c r="J139" s="9"/>
    </row>
    <row r="140" spans="1:13" ht="15.95" customHeight="1" x14ac:dyDescent="0.25">
      <c r="B140" s="12"/>
      <c r="E140" s="78"/>
      <c r="H140" s="20" t="s">
        <v>128</v>
      </c>
      <c r="J140" s="9"/>
    </row>
    <row r="141" spans="1:13" ht="15.95" customHeight="1" x14ac:dyDescent="0.25">
      <c r="B141" s="12"/>
      <c r="C141" s="8" t="s">
        <v>129</v>
      </c>
      <c r="E141" s="78"/>
      <c r="H141" s="20"/>
      <c r="J141" s="9"/>
    </row>
    <row r="142" spans="1:13" ht="15.95" customHeight="1" x14ac:dyDescent="0.25">
      <c r="B142" s="12"/>
      <c r="C142" s="1" t="s">
        <v>130</v>
      </c>
      <c r="E142" s="19">
        <f>IFERROR(E139*E138,"")</f>
        <v>0</v>
      </c>
      <c r="F142" s="1" t="s">
        <v>8</v>
      </c>
      <c r="J142" s="9"/>
    </row>
    <row r="143" spans="1:13" ht="15.95" customHeight="1" x14ac:dyDescent="0.25">
      <c r="B143" s="12"/>
      <c r="C143" s="1" t="s">
        <v>131</v>
      </c>
      <c r="E143" s="23">
        <v>2200</v>
      </c>
      <c r="J143" s="9"/>
    </row>
    <row r="144" spans="1:13" ht="15.95" customHeight="1" x14ac:dyDescent="0.25">
      <c r="B144" s="12"/>
      <c r="C144" s="1" t="s">
        <v>132</v>
      </c>
      <c r="E144" s="19">
        <f>E143*12</f>
        <v>26400</v>
      </c>
      <c r="F144" s="1" t="s">
        <v>60</v>
      </c>
      <c r="J144" s="9"/>
    </row>
    <row r="145" spans="2:10" ht="15.95" customHeight="1" x14ac:dyDescent="0.25">
      <c r="B145" s="12"/>
      <c r="C145" s="1" t="s">
        <v>62</v>
      </c>
      <c r="E145" s="23">
        <v>0</v>
      </c>
      <c r="F145" s="1" t="s">
        <v>60</v>
      </c>
      <c r="H145" s="20" t="s">
        <v>133</v>
      </c>
      <c r="J145" s="9"/>
    </row>
    <row r="146" spans="2:10" ht="15.95" customHeight="1" x14ac:dyDescent="0.25">
      <c r="B146" s="12"/>
      <c r="C146" s="32" t="s">
        <v>64</v>
      </c>
      <c r="D146" s="32"/>
      <c r="E146" s="33">
        <f>SUM(E142:E145)</f>
        <v>28600</v>
      </c>
      <c r="F146" s="32" t="s">
        <v>8</v>
      </c>
      <c r="J146" s="9"/>
    </row>
    <row r="147" spans="2:10" ht="15.95" customHeight="1" x14ac:dyDescent="0.25">
      <c r="B147" s="12"/>
      <c r="E147" s="19"/>
      <c r="J147" s="9"/>
    </row>
    <row r="148" spans="2:10" ht="15.95" customHeight="1" x14ac:dyDescent="0.25">
      <c r="B148" s="12"/>
      <c r="C148" s="8" t="s">
        <v>134</v>
      </c>
      <c r="E148" s="23">
        <v>35000</v>
      </c>
      <c r="F148" s="1" t="s">
        <v>11</v>
      </c>
      <c r="H148" s="24" t="s">
        <v>135</v>
      </c>
      <c r="J148" s="9"/>
    </row>
    <row r="149" spans="2:10" ht="15.95" customHeight="1" x14ac:dyDescent="0.25">
      <c r="B149" s="12"/>
      <c r="C149" s="1" t="s">
        <v>136</v>
      </c>
      <c r="E149" s="23">
        <v>0</v>
      </c>
      <c r="F149" s="1" t="s">
        <v>11</v>
      </c>
      <c r="H149" s="24" t="s">
        <v>122</v>
      </c>
      <c r="J149" s="9"/>
    </row>
    <row r="150" spans="2:10" ht="15.95" customHeight="1" x14ac:dyDescent="0.25">
      <c r="B150" s="12"/>
      <c r="C150" s="1" t="s">
        <v>69</v>
      </c>
      <c r="E150" s="23">
        <v>15</v>
      </c>
      <c r="F150" s="1" t="s">
        <v>13</v>
      </c>
      <c r="H150" s="74"/>
      <c r="J150" s="9"/>
    </row>
    <row r="151" spans="2:10" ht="15.95" customHeight="1" x14ac:dyDescent="0.25">
      <c r="B151" s="12"/>
      <c r="C151" s="1" t="s">
        <v>71</v>
      </c>
      <c r="D151" s="54">
        <f>D105</f>
        <v>0.05</v>
      </c>
      <c r="E151" s="19">
        <f>IFERROR(-PMT(D151,E150,(E148+E149)),"")</f>
        <v>3371.9800663235533</v>
      </c>
      <c r="F151" s="1" t="s">
        <v>60</v>
      </c>
      <c r="H151" s="53"/>
      <c r="J151" s="9"/>
    </row>
    <row r="152" spans="2:10" ht="15.95" customHeight="1" x14ac:dyDescent="0.25">
      <c r="B152" s="12"/>
      <c r="C152" s="32" t="s">
        <v>137</v>
      </c>
      <c r="D152" s="32"/>
      <c r="E152" s="33">
        <f>IFERROR(E146+E151,"")</f>
        <v>31971.980066323555</v>
      </c>
      <c r="F152" s="32" t="s">
        <v>8</v>
      </c>
      <c r="J152" s="9"/>
    </row>
    <row r="153" spans="2:10" ht="15.95" customHeight="1" x14ac:dyDescent="0.25">
      <c r="B153" s="12"/>
      <c r="E153" s="19"/>
      <c r="J153" s="9"/>
    </row>
    <row r="154" spans="2:10" ht="15.95" customHeight="1" x14ac:dyDescent="0.25">
      <c r="B154" s="12"/>
      <c r="C154" s="8" t="s">
        <v>138</v>
      </c>
      <c r="E154" s="23">
        <v>35000</v>
      </c>
      <c r="F154" s="1" t="s">
        <v>11</v>
      </c>
      <c r="H154" s="104"/>
      <c r="I154" s="104"/>
      <c r="J154" s="105"/>
    </row>
    <row r="155" spans="2:10" ht="15.95" customHeight="1" x14ac:dyDescent="0.25">
      <c r="B155" s="12"/>
      <c r="C155" s="1" t="s">
        <v>69</v>
      </c>
      <c r="E155" s="23">
        <v>15</v>
      </c>
      <c r="F155" s="1" t="s">
        <v>13</v>
      </c>
      <c r="H155" s="193" t="s">
        <v>139</v>
      </c>
      <c r="I155" s="193"/>
      <c r="J155" s="194"/>
    </row>
    <row r="156" spans="2:10" ht="15.95" customHeight="1" x14ac:dyDescent="0.25">
      <c r="B156" s="12"/>
      <c r="C156" s="1" t="s">
        <v>71</v>
      </c>
      <c r="D156" s="54">
        <f>D151</f>
        <v>0.05</v>
      </c>
      <c r="E156" s="19">
        <f>IFERROR(-PMT(D156,E155,E154),"")</f>
        <v>3371.9800663235533</v>
      </c>
      <c r="F156" s="1" t="s">
        <v>60</v>
      </c>
      <c r="H156" s="193"/>
      <c r="I156" s="193"/>
      <c r="J156" s="194"/>
    </row>
    <row r="157" spans="2:10" ht="15.95" customHeight="1" x14ac:dyDescent="0.25">
      <c r="B157" s="12"/>
      <c r="C157" s="32" t="s">
        <v>140</v>
      </c>
      <c r="D157" s="32"/>
      <c r="E157" s="33">
        <f>IFERROR(E146+E156,"")</f>
        <v>31971.980066323555</v>
      </c>
      <c r="F157" s="32" t="s">
        <v>8</v>
      </c>
      <c r="J157" s="9"/>
    </row>
    <row r="158" spans="2:10" ht="15.95" customHeight="1" thickBot="1" x14ac:dyDescent="0.3">
      <c r="B158" s="34"/>
      <c r="C158" s="35"/>
      <c r="D158" s="35"/>
      <c r="E158" s="35"/>
      <c r="F158" s="35"/>
      <c r="G158" s="35"/>
      <c r="H158" s="35"/>
      <c r="I158" s="35"/>
      <c r="J158" s="37"/>
    </row>
    <row r="159" spans="2:10" ht="15.95" customHeight="1" x14ac:dyDescent="0.25">
      <c r="B159" s="12"/>
      <c r="E159" s="19"/>
      <c r="H159" s="11"/>
      <c r="J159" s="9"/>
    </row>
    <row r="160" spans="2:10" ht="15.95" customHeight="1" x14ac:dyDescent="0.25">
      <c r="B160" s="12"/>
      <c r="C160" s="43" t="s">
        <v>141</v>
      </c>
      <c r="D160" s="8"/>
      <c r="E160" s="19"/>
      <c r="H160" s="11"/>
      <c r="J160" s="9"/>
    </row>
    <row r="161" spans="2:10" ht="15.95" customHeight="1" x14ac:dyDescent="0.25">
      <c r="B161" s="12"/>
      <c r="C161" s="1" t="s">
        <v>119</v>
      </c>
      <c r="D161" s="8"/>
      <c r="E161" s="84" t="s">
        <v>88</v>
      </c>
      <c r="F161" s="21" t="s">
        <v>35</v>
      </c>
      <c r="H161" s="11"/>
      <c r="J161" s="9"/>
    </row>
    <row r="162" spans="2:10" ht="15.95" customHeight="1" x14ac:dyDescent="0.25">
      <c r="B162" s="12"/>
      <c r="D162" s="8"/>
      <c r="E162" s="25"/>
      <c r="F162" s="21"/>
      <c r="H162" s="11"/>
      <c r="J162" s="9"/>
    </row>
    <row r="163" spans="2:10" ht="15.95" customHeight="1" x14ac:dyDescent="0.25">
      <c r="B163" s="12"/>
      <c r="C163" s="1" t="s">
        <v>142</v>
      </c>
      <c r="E163" s="38">
        <v>85</v>
      </c>
      <c r="F163" s="1" t="s">
        <v>45</v>
      </c>
      <c r="H163" s="20"/>
      <c r="J163" s="9"/>
    </row>
    <row r="164" spans="2:10" ht="15.95" customHeight="1" x14ac:dyDescent="0.25">
      <c r="B164" s="12"/>
      <c r="C164" s="1" t="s">
        <v>143</v>
      </c>
      <c r="E164" s="19">
        <f>IFERROR(E38/(E163/100),"")</f>
        <v>24850.072383469273</v>
      </c>
      <c r="F164" s="1" t="s">
        <v>124</v>
      </c>
      <c r="J164" s="9"/>
    </row>
    <row r="165" spans="2:10" ht="15.95" customHeight="1" x14ac:dyDescent="0.25">
      <c r="B165" s="12"/>
      <c r="E165" s="19">
        <f>E164/4.86</f>
        <v>5113.1836179977927</v>
      </c>
      <c r="F165" s="1" t="s">
        <v>144</v>
      </c>
      <c r="J165" s="9"/>
    </row>
    <row r="166" spans="2:10" ht="15.95" customHeight="1" x14ac:dyDescent="0.25">
      <c r="B166" s="12"/>
      <c r="C166" s="1" t="s">
        <v>145</v>
      </c>
      <c r="E166" s="40">
        <v>3</v>
      </c>
      <c r="F166" s="1" t="s">
        <v>146</v>
      </c>
      <c r="H166" s="20"/>
      <c r="J166" s="9"/>
    </row>
    <row r="167" spans="2:10" ht="15.95" customHeight="1" x14ac:dyDescent="0.25">
      <c r="B167" s="12"/>
      <c r="E167" s="78"/>
      <c r="H167" s="20"/>
      <c r="J167" s="9"/>
    </row>
    <row r="168" spans="2:10" ht="15.95" customHeight="1" x14ac:dyDescent="0.25">
      <c r="B168" s="12"/>
      <c r="C168" s="8" t="s">
        <v>147</v>
      </c>
      <c r="E168" s="78"/>
      <c r="H168" s="20"/>
      <c r="J168" s="9"/>
    </row>
    <row r="169" spans="2:10" ht="15.95" customHeight="1" x14ac:dyDescent="0.25">
      <c r="B169" s="12"/>
      <c r="C169" s="1" t="s">
        <v>148</v>
      </c>
      <c r="E169" s="19">
        <f>IFERROR(E166*E165,"")</f>
        <v>15339.550853993378</v>
      </c>
      <c r="F169" s="1" t="s">
        <v>8</v>
      </c>
      <c r="J169" s="9"/>
    </row>
    <row r="170" spans="2:10" ht="15.95" customHeight="1" x14ac:dyDescent="0.25">
      <c r="B170" s="12"/>
      <c r="C170" s="1" t="s">
        <v>59</v>
      </c>
      <c r="E170" s="23">
        <v>500</v>
      </c>
      <c r="F170" s="1" t="s">
        <v>60</v>
      </c>
      <c r="J170" s="9"/>
    </row>
    <row r="171" spans="2:10" ht="15.95" customHeight="1" x14ac:dyDescent="0.25">
      <c r="B171" s="12"/>
      <c r="C171" s="1" t="s">
        <v>149</v>
      </c>
      <c r="E171" s="23">
        <v>2500</v>
      </c>
      <c r="F171" s="1" t="s">
        <v>60</v>
      </c>
      <c r="H171" s="20"/>
      <c r="J171" s="9"/>
    </row>
    <row r="172" spans="2:10" ht="15.95" customHeight="1" x14ac:dyDescent="0.25">
      <c r="B172" s="12"/>
      <c r="C172" s="1" t="s">
        <v>63</v>
      </c>
      <c r="E172" s="23"/>
      <c r="F172" s="1" t="s">
        <v>60</v>
      </c>
      <c r="H172" s="20"/>
      <c r="J172" s="9"/>
    </row>
    <row r="173" spans="2:10" ht="15.95" customHeight="1" x14ac:dyDescent="0.25">
      <c r="B173" s="12"/>
      <c r="C173" s="32" t="s">
        <v>64</v>
      </c>
      <c r="D173" s="32"/>
      <c r="E173" s="33">
        <f>SUM(E169:E172)</f>
        <v>18339.55085399338</v>
      </c>
      <c r="F173" s="32" t="s">
        <v>8</v>
      </c>
      <c r="J173" s="9"/>
    </row>
    <row r="174" spans="2:10" ht="15.95" customHeight="1" x14ac:dyDescent="0.25">
      <c r="B174" s="12"/>
      <c r="E174" s="19"/>
      <c r="J174" s="9"/>
    </row>
    <row r="175" spans="2:10" ht="15.95" customHeight="1" x14ac:dyDescent="0.25">
      <c r="B175" s="12"/>
      <c r="C175" s="8" t="s">
        <v>150</v>
      </c>
      <c r="E175" s="23">
        <v>50000</v>
      </c>
      <c r="F175" s="1" t="s">
        <v>11</v>
      </c>
      <c r="H175" s="24" t="s">
        <v>135</v>
      </c>
      <c r="J175" s="9"/>
    </row>
    <row r="176" spans="2:10" ht="15.95" customHeight="1" x14ac:dyDescent="0.25">
      <c r="B176" s="12"/>
      <c r="C176" s="1" t="s">
        <v>151</v>
      </c>
      <c r="E176" s="23">
        <v>0</v>
      </c>
      <c r="F176" s="1" t="s">
        <v>11</v>
      </c>
      <c r="J176" s="9"/>
    </row>
    <row r="177" spans="2:10" ht="15.95" customHeight="1" x14ac:dyDescent="0.25">
      <c r="B177" s="12"/>
      <c r="C177" s="1" t="s">
        <v>69</v>
      </c>
      <c r="E177" s="23">
        <v>15</v>
      </c>
      <c r="F177" s="1" t="s">
        <v>13</v>
      </c>
      <c r="H177" s="74"/>
      <c r="J177" s="9"/>
    </row>
    <row r="178" spans="2:10" ht="15.95" customHeight="1" x14ac:dyDescent="0.25">
      <c r="B178" s="12"/>
      <c r="C178" s="1" t="s">
        <v>71</v>
      </c>
      <c r="D178" s="54">
        <v>0.05</v>
      </c>
      <c r="E178" s="19">
        <f>IFERROR(-PMT(D178,E177,(E175+E176)),"")</f>
        <v>4817.1143804622179</v>
      </c>
      <c r="F178" s="1" t="s">
        <v>60</v>
      </c>
      <c r="H178" s="53"/>
      <c r="J178" s="9"/>
    </row>
    <row r="179" spans="2:10" ht="15.95" customHeight="1" x14ac:dyDescent="0.25">
      <c r="B179" s="12"/>
      <c r="C179" s="32" t="s">
        <v>137</v>
      </c>
      <c r="D179" s="32"/>
      <c r="E179" s="33">
        <f>IFERROR(E173+E178,"")</f>
        <v>23156.665234455599</v>
      </c>
      <c r="F179" s="32" t="s">
        <v>8</v>
      </c>
      <c r="J179" s="9"/>
    </row>
    <row r="180" spans="2:10" ht="15.95" customHeight="1" x14ac:dyDescent="0.25">
      <c r="B180" s="12"/>
      <c r="E180" s="19"/>
      <c r="J180" s="9"/>
    </row>
    <row r="181" spans="2:10" ht="15.95" customHeight="1" x14ac:dyDescent="0.25">
      <c r="B181" s="12"/>
      <c r="C181" s="8" t="s">
        <v>138</v>
      </c>
      <c r="E181" s="23">
        <v>20000</v>
      </c>
      <c r="F181" s="1" t="s">
        <v>11</v>
      </c>
      <c r="H181" s="104"/>
      <c r="I181" s="104"/>
      <c r="J181" s="105"/>
    </row>
    <row r="182" spans="2:10" ht="15.95" customHeight="1" x14ac:dyDescent="0.25">
      <c r="B182" s="12"/>
      <c r="C182" s="1" t="s">
        <v>69</v>
      </c>
      <c r="E182" s="23">
        <v>7</v>
      </c>
      <c r="F182" s="1" t="s">
        <v>13</v>
      </c>
      <c r="H182" s="193" t="s">
        <v>152</v>
      </c>
      <c r="I182" s="193"/>
      <c r="J182" s="194"/>
    </row>
    <row r="183" spans="2:10" ht="15.95" customHeight="1" x14ac:dyDescent="0.25">
      <c r="B183" s="12"/>
      <c r="C183" s="1" t="s">
        <v>71</v>
      </c>
      <c r="D183" s="54">
        <v>0.05</v>
      </c>
      <c r="E183" s="19">
        <f>IFERROR(-PMT(D183,E182,E181),"")</f>
        <v>3456.3963689234147</v>
      </c>
      <c r="F183" s="1" t="s">
        <v>60</v>
      </c>
      <c r="H183" s="193"/>
      <c r="I183" s="193"/>
      <c r="J183" s="194"/>
    </row>
    <row r="184" spans="2:10" ht="15.95" customHeight="1" x14ac:dyDescent="0.25">
      <c r="B184" s="12"/>
      <c r="C184" s="32" t="s">
        <v>140</v>
      </c>
      <c r="D184" s="32"/>
      <c r="E184" s="33">
        <f>IFERROR(E173+E183,"")</f>
        <v>21795.947222916795</v>
      </c>
      <c r="F184" s="32" t="s">
        <v>8</v>
      </c>
      <c r="J184" s="9"/>
    </row>
    <row r="185" spans="2:10" ht="15.95" customHeight="1" thickBot="1" x14ac:dyDescent="0.3">
      <c r="B185" s="34"/>
      <c r="C185" s="35"/>
      <c r="D185" s="35"/>
      <c r="E185" s="35"/>
      <c r="F185" s="35"/>
      <c r="G185" s="35"/>
      <c r="H185" s="35"/>
      <c r="I185" s="35"/>
      <c r="J185" s="37"/>
    </row>
    <row r="186" spans="2:10" x14ac:dyDescent="0.25"/>
    <row r="187" spans="2:10" x14ac:dyDescent="0.25"/>
    <row r="188" spans="2:10" x14ac:dyDescent="0.25"/>
    <row r="189" spans="2:10" x14ac:dyDescent="0.25"/>
    <row r="190" spans="2:10" x14ac:dyDescent="0.25"/>
    <row r="191" spans="2:10" x14ac:dyDescent="0.25"/>
    <row r="192" spans="2:10"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sheetData>
  <sheetProtection algorithmName="SHA-512" hashValue="BKSuLI2G4vE6uP3yjDcm/8TYe3jKvvnaYNrEpA42lFsjCYR8vzA1G5R9pDRi58Gou+sI4eXi9hKuFIlcbg6xLw==" saltValue="9rO6j2Q4nNll0INDGYBwHg==" spinCount="100000" sheet="1" objects="1" scenarios="1"/>
  <protectedRanges>
    <protectedRange sqref="C4" name="Navn"/>
    <protectedRange sqref="D14:F17" name="Kunde"/>
    <protectedRange sqref="E69:E71 F69" name="Fjernvarme"/>
    <protectedRange sqref="E22:E23 E29 E27 E34:E36" name="Boligen"/>
    <protectedRange sqref="E44:E46 E50:E52 D53" name="Nuværende"/>
    <protectedRange sqref="E79 E88:E91 E100 D82:E84 E103:E104 D105 D101 E94 D95 E97:E98" name="Fjernvarme beregning"/>
    <protectedRange sqref="E135 E137 E139 E144:E145 E148:E150 D151 E154:E155 D156" name="Varmepumpe beregning"/>
    <protectedRange sqref="E135" name="Alternativ VP"/>
    <protectedRange sqref="E161" name="Alternativ træpille"/>
    <protectedRange sqref="E161 E163 E166 E170:E172 E175:E177 D178 E181:E182 D183" name="Træpillekedel"/>
  </protectedRanges>
  <mergeCells count="18">
    <mergeCell ref="C3:I3"/>
    <mergeCell ref="C4:I5"/>
    <mergeCell ref="C8:J8"/>
    <mergeCell ref="C63:J63"/>
    <mergeCell ref="D14:F14"/>
    <mergeCell ref="D15:F15"/>
    <mergeCell ref="D16:F16"/>
    <mergeCell ref="D17:F17"/>
    <mergeCell ref="C60:I60"/>
    <mergeCell ref="H52:J53"/>
    <mergeCell ref="H82:J85"/>
    <mergeCell ref="H93:J95"/>
    <mergeCell ref="H102:J106"/>
    <mergeCell ref="H182:J183"/>
    <mergeCell ref="C129:J129"/>
    <mergeCell ref="H155:J156"/>
    <mergeCell ref="H114:J115"/>
    <mergeCell ref="H108:J109"/>
  </mergeCells>
  <conditionalFormatting sqref="E88:F90">
    <cfRule type="expression" dxfId="1" priority="2">
      <formula>$D$83="Ja"</formula>
    </cfRule>
  </conditionalFormatting>
  <conditionalFormatting sqref="E97:F98 E103:F103">
    <cfRule type="expression" dxfId="0" priority="1">
      <formula>$D$82="Ja"</formula>
    </cfRule>
  </conditionalFormatting>
  <dataValidations count="1">
    <dataValidation type="list" allowBlank="1" showInputMessage="1" showErrorMessage="1" sqref="G69" xr:uid="{047738BF-7C2D-4BE7-8DF6-D5D6E366C3C4}">
      <formula1>#REF!</formula1>
    </dataValidation>
  </dataValidations>
  <pageMargins left="0.7" right="0.7" top="0.75" bottom="0.75" header="0.3" footer="0.3"/>
  <pageSetup paperSize="9" scale="69" fitToHeight="0" orientation="portrait" r:id="rId1"/>
  <rowBreaks count="1" manualBreakCount="1">
    <brk id="58" min="1" max="9"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3CC537B-C2EE-4426-BE99-E9B7072E675F}">
          <x14:formula1>
            <xm:f>Oplysninger!$B$244:$B$251</xm:f>
          </x14:formula1>
          <xm:sqref>E27</xm:sqref>
        </x14:dataValidation>
        <x14:dataValidation type="list" allowBlank="1" showInputMessage="1" showErrorMessage="1" xr:uid="{191541E1-45C3-4099-8997-020E099D78C5}">
          <x14:formula1>
            <xm:f>Oplysninger!$D$264:$D$265</xm:f>
          </x14:formula1>
          <xm:sqref>E135 E161 D82:D83</xm:sqref>
        </x14:dataValidation>
        <x14:dataValidation type="list" allowBlank="1" showInputMessage="1" showErrorMessage="1" xr:uid="{F8CA7B1F-0B24-48C1-B7A3-6D5AC3CC4991}">
          <x14:formula1>
            <xm:f>Oplysninger!$B$264:$B$265</xm:f>
          </x14:formula1>
          <xm:sqref>F69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B4EF4-9F60-4467-878A-7FAC0B6952E4}">
  <dimension ref="A3:BI270"/>
  <sheetViews>
    <sheetView topLeftCell="A15" zoomScale="90" zoomScaleNormal="90" workbookViewId="0">
      <selection activeCell="G41" sqref="G41"/>
    </sheetView>
  </sheetViews>
  <sheetFormatPr defaultColWidth="9.140625" defaultRowHeight="15.75" x14ac:dyDescent="0.25"/>
  <cols>
    <col min="1" max="14" width="9.140625" style="31"/>
    <col min="15" max="15" width="12" style="31" bestFit="1" customWidth="1"/>
    <col min="16" max="16384" width="9.140625" style="31"/>
  </cols>
  <sheetData>
    <row r="3" spans="1:61" ht="18.75" x14ac:dyDescent="0.3">
      <c r="B3" s="177" t="s">
        <v>153</v>
      </c>
      <c r="C3" s="178"/>
      <c r="D3" s="178"/>
      <c r="E3" s="178"/>
      <c r="F3" s="178"/>
      <c r="G3" s="178"/>
      <c r="H3" s="178"/>
      <c r="I3" s="178"/>
      <c r="J3" s="178"/>
      <c r="K3" s="178"/>
      <c r="L3" s="178"/>
    </row>
    <row r="4" spans="1:61" x14ac:dyDescent="0.25">
      <c r="B4" s="31" t="s">
        <v>154</v>
      </c>
    </row>
    <row r="5" spans="1:61" s="98" customFormat="1" ht="18.75" x14ac:dyDescent="0.3">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row>
    <row r="6" spans="1:61" s="108" customFormat="1" x14ac:dyDescent="0.25">
      <c r="B6" s="109" t="s">
        <v>155</v>
      </c>
    </row>
    <row r="7" spans="1:61" x14ac:dyDescent="0.25">
      <c r="B7" s="50"/>
    </row>
    <row r="8" spans="1:61" x14ac:dyDescent="0.25">
      <c r="B8" s="75" t="s">
        <v>156</v>
      </c>
      <c r="N8" s="75" t="s">
        <v>157</v>
      </c>
    </row>
    <row r="9" spans="1:61" x14ac:dyDescent="0.25">
      <c r="B9" s="75" t="s">
        <v>158</v>
      </c>
      <c r="N9" s="103" t="s">
        <v>159</v>
      </c>
    </row>
    <row r="10" spans="1:61" x14ac:dyDescent="0.25">
      <c r="B10" s="50"/>
      <c r="N10" s="31" t="s">
        <v>160</v>
      </c>
    </row>
    <row r="11" spans="1:61" x14ac:dyDescent="0.25">
      <c r="B11" s="50"/>
    </row>
    <row r="12" spans="1:61" x14ac:dyDescent="0.25">
      <c r="B12" s="50"/>
    </row>
    <row r="13" spans="1:61" x14ac:dyDescent="0.25">
      <c r="B13" s="50"/>
    </row>
    <row r="14" spans="1:61" x14ac:dyDescent="0.25">
      <c r="B14" s="50"/>
    </row>
    <row r="15" spans="1:61" x14ac:dyDescent="0.25">
      <c r="B15" s="50"/>
    </row>
    <row r="16" spans="1:61" ht="15" customHeight="1" x14ac:dyDescent="0.25">
      <c r="B16" s="50"/>
    </row>
    <row r="17" spans="1:61" x14ac:dyDescent="0.25">
      <c r="B17" s="50"/>
    </row>
    <row r="18" spans="1:61" s="18" customFormat="1" x14ac:dyDescent="0.25">
      <c r="A18" s="31"/>
      <c r="B18" s="50"/>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row>
    <row r="19" spans="1:61" x14ac:dyDescent="0.25">
      <c r="B19" s="50"/>
    </row>
    <row r="20" spans="1:61" x14ac:dyDescent="0.25">
      <c r="B20" s="50"/>
    </row>
    <row r="21" spans="1:61" x14ac:dyDescent="0.25">
      <c r="B21" s="50"/>
    </row>
    <row r="22" spans="1:61" x14ac:dyDescent="0.25">
      <c r="B22" s="50"/>
    </row>
    <row r="23" spans="1:61" x14ac:dyDescent="0.25">
      <c r="B23" s="50"/>
    </row>
    <row r="24" spans="1:61" x14ac:dyDescent="0.25">
      <c r="B24" s="50"/>
    </row>
    <row r="25" spans="1:61" x14ac:dyDescent="0.25">
      <c r="B25" s="50"/>
    </row>
    <row r="26" spans="1:61" x14ac:dyDescent="0.25">
      <c r="B26" s="75"/>
    </row>
    <row r="27" spans="1:61" x14ac:dyDescent="0.25">
      <c r="B27" s="75"/>
    </row>
    <row r="28" spans="1:61" s="108" customFormat="1" x14ac:dyDescent="0.25">
      <c r="B28" s="109" t="s">
        <v>161</v>
      </c>
    </row>
    <row r="29" spans="1:61" x14ac:dyDescent="0.25">
      <c r="B29" s="50"/>
    </row>
    <row r="30" spans="1:61" x14ac:dyDescent="0.25">
      <c r="B30" s="31" t="s">
        <v>162</v>
      </c>
    </row>
    <row r="31" spans="1:61" x14ac:dyDescent="0.25">
      <c r="B31" s="31" t="s">
        <v>163</v>
      </c>
    </row>
    <row r="32" spans="1:61" x14ac:dyDescent="0.25">
      <c r="B32" s="31" t="s">
        <v>164</v>
      </c>
    </row>
    <row r="33" spans="2:16" x14ac:dyDescent="0.25">
      <c r="B33" s="95" t="s">
        <v>165</v>
      </c>
    </row>
    <row r="34" spans="2:16" x14ac:dyDescent="0.25">
      <c r="B34" s="75" t="s">
        <v>166</v>
      </c>
    </row>
    <row r="35" spans="2:16" x14ac:dyDescent="0.25">
      <c r="B35" s="75"/>
    </row>
    <row r="36" spans="2:16" s="108" customFormat="1" x14ac:dyDescent="0.25">
      <c r="B36" s="109" t="s">
        <v>167</v>
      </c>
    </row>
    <row r="37" spans="2:16" x14ac:dyDescent="0.25">
      <c r="B37" s="50"/>
    </row>
    <row r="38" spans="2:16" x14ac:dyDescent="0.25">
      <c r="B38" s="31" t="s">
        <v>168</v>
      </c>
    </row>
    <row r="40" spans="2:16" x14ac:dyDescent="0.25">
      <c r="B40" s="31" t="s">
        <v>169</v>
      </c>
      <c r="I40" s="75" t="s">
        <v>170</v>
      </c>
    </row>
    <row r="41" spans="2:16" x14ac:dyDescent="0.25">
      <c r="B41" s="31" t="s">
        <v>171</v>
      </c>
      <c r="I41" s="75" t="s">
        <v>172</v>
      </c>
    </row>
    <row r="45" spans="2:16" x14ac:dyDescent="0.25">
      <c r="P45" s="75" t="s">
        <v>157</v>
      </c>
    </row>
    <row r="46" spans="2:16" x14ac:dyDescent="0.25">
      <c r="P46" s="103" t="s">
        <v>159</v>
      </c>
    </row>
    <row r="47" spans="2:16" x14ac:dyDescent="0.25">
      <c r="B47" s="75"/>
    </row>
    <row r="48" spans="2:16" x14ac:dyDescent="0.25">
      <c r="B48" s="75"/>
    </row>
    <row r="49" spans="2:16" x14ac:dyDescent="0.25">
      <c r="B49" s="75"/>
    </row>
    <row r="50" spans="2:16" s="108" customFormat="1" x14ac:dyDescent="0.25">
      <c r="B50" s="109" t="s">
        <v>173</v>
      </c>
    </row>
    <row r="51" spans="2:16" x14ac:dyDescent="0.25">
      <c r="B51" s="75"/>
    </row>
    <row r="52" spans="2:16" x14ac:dyDescent="0.25">
      <c r="B52" s="75"/>
    </row>
    <row r="53" spans="2:16" x14ac:dyDescent="0.25">
      <c r="B53" s="75"/>
      <c r="P53" s="75" t="s">
        <v>157</v>
      </c>
    </row>
    <row r="54" spans="2:16" x14ac:dyDescent="0.25">
      <c r="B54" s="75"/>
      <c r="P54" s="103" t="s">
        <v>159</v>
      </c>
    </row>
    <row r="55" spans="2:16" x14ac:dyDescent="0.25">
      <c r="B55" s="75"/>
    </row>
    <row r="56" spans="2:16" x14ac:dyDescent="0.25">
      <c r="B56" s="75"/>
    </row>
    <row r="57" spans="2:16" s="108" customFormat="1" x14ac:dyDescent="0.25">
      <c r="B57" s="109" t="s">
        <v>174</v>
      </c>
    </row>
    <row r="58" spans="2:16" x14ac:dyDescent="0.25">
      <c r="B58" s="50"/>
    </row>
    <row r="59" spans="2:16" x14ac:dyDescent="0.25">
      <c r="B59" s="31" t="s">
        <v>175</v>
      </c>
      <c r="O59" s="75" t="s">
        <v>176</v>
      </c>
      <c r="P59" s="75" t="s">
        <v>177</v>
      </c>
    </row>
    <row r="60" spans="2:16" x14ac:dyDescent="0.25">
      <c r="B60" s="111" t="s">
        <v>178</v>
      </c>
      <c r="E60" s="112">
        <v>19000</v>
      </c>
      <c r="F60" s="31" t="s">
        <v>179</v>
      </c>
      <c r="P60" s="75" t="s">
        <v>180</v>
      </c>
    </row>
    <row r="61" spans="2:16" x14ac:dyDescent="0.25">
      <c r="B61" s="111" t="s">
        <v>181</v>
      </c>
      <c r="E61" s="112">
        <v>24000</v>
      </c>
      <c r="F61" s="31" t="s">
        <v>182</v>
      </c>
    </row>
    <row r="62" spans="2:16" x14ac:dyDescent="0.25">
      <c r="B62" s="75"/>
    </row>
    <row r="63" spans="2:16" s="108" customFormat="1" x14ac:dyDescent="0.25">
      <c r="B63" s="109" t="s">
        <v>183</v>
      </c>
    </row>
    <row r="64" spans="2:16" x14ac:dyDescent="0.25">
      <c r="G64" s="75"/>
    </row>
    <row r="65" spans="2:12" x14ac:dyDescent="0.25">
      <c r="B65" t="s">
        <v>184</v>
      </c>
      <c r="G65" s="103"/>
      <c r="K65" s="75" t="s">
        <v>185</v>
      </c>
    </row>
    <row r="66" spans="2:12" x14ac:dyDescent="0.25">
      <c r="B66" s="31" t="s">
        <v>186</v>
      </c>
      <c r="G66" s="103"/>
      <c r="K66" s="103" t="s">
        <v>187</v>
      </c>
    </row>
    <row r="67" spans="2:12" x14ac:dyDescent="0.25">
      <c r="G67" s="103"/>
    </row>
    <row r="68" spans="2:12" x14ac:dyDescent="0.25">
      <c r="B68" s="31" t="s">
        <v>188</v>
      </c>
      <c r="K68" s="75" t="s">
        <v>189</v>
      </c>
      <c r="L68" s="103" t="s">
        <v>190</v>
      </c>
    </row>
    <row r="69" spans="2:12" x14ac:dyDescent="0.25">
      <c r="G69" s="103"/>
    </row>
    <row r="71" spans="2:12" s="108" customFormat="1" x14ac:dyDescent="0.25">
      <c r="B71" s="109" t="s">
        <v>191</v>
      </c>
    </row>
    <row r="72" spans="2:12" x14ac:dyDescent="0.25">
      <c r="B72" s="50"/>
    </row>
    <row r="73" spans="2:12" x14ac:dyDescent="0.25">
      <c r="B73" s="31" t="s">
        <v>192</v>
      </c>
      <c r="K73" s="75"/>
    </row>
    <row r="74" spans="2:12" x14ac:dyDescent="0.25">
      <c r="B74" s="31" t="s">
        <v>193</v>
      </c>
      <c r="E74" s="106" t="s">
        <v>194</v>
      </c>
      <c r="K74" s="75"/>
    </row>
    <row r="75" spans="2:12" x14ac:dyDescent="0.25">
      <c r="B75" s="31" t="s">
        <v>195</v>
      </c>
      <c r="K75" s="75"/>
    </row>
    <row r="76" spans="2:12" x14ac:dyDescent="0.25">
      <c r="B76" s="106" t="s">
        <v>196</v>
      </c>
    </row>
    <row r="77" spans="2:12" x14ac:dyDescent="0.25">
      <c r="B77" s="31" t="s">
        <v>197</v>
      </c>
    </row>
    <row r="78" spans="2:12" x14ac:dyDescent="0.25">
      <c r="B78" s="75"/>
    </row>
    <row r="79" spans="2:12" s="108" customFormat="1" x14ac:dyDescent="0.25">
      <c r="B79" s="109" t="s">
        <v>198</v>
      </c>
    </row>
    <row r="80" spans="2:12" x14ac:dyDescent="0.25">
      <c r="B80" s="50"/>
    </row>
    <row r="81" spans="1:61" x14ac:dyDescent="0.25">
      <c r="B81" s="31" t="s">
        <v>199</v>
      </c>
    </row>
    <row r="82" spans="1:61" x14ac:dyDescent="0.25">
      <c r="B82" s="31" t="s">
        <v>200</v>
      </c>
    </row>
    <row r="83" spans="1:61" x14ac:dyDescent="0.25">
      <c r="B83" s="31" t="s">
        <v>201</v>
      </c>
    </row>
    <row r="85" spans="1:61" s="108" customFormat="1" x14ac:dyDescent="0.25">
      <c r="B85" s="109" t="s">
        <v>202</v>
      </c>
    </row>
    <row r="86" spans="1:61" x14ac:dyDescent="0.25">
      <c r="B86" s="50"/>
    </row>
    <row r="87" spans="1:61" x14ac:dyDescent="0.25">
      <c r="B87" s="31" t="s">
        <v>203</v>
      </c>
    </row>
    <row r="88" spans="1:61" x14ac:dyDescent="0.25">
      <c r="B88" s="31" t="s">
        <v>204</v>
      </c>
    </row>
    <row r="91" spans="1:61" x14ac:dyDescent="0.25">
      <c r="H91" s="91" t="s">
        <v>205</v>
      </c>
      <c r="I91" s="75"/>
      <c r="J91" s="75"/>
      <c r="K91" s="75"/>
      <c r="L91" s="75"/>
      <c r="M91" s="75"/>
      <c r="N91" s="75"/>
      <c r="O91" s="75"/>
    </row>
    <row r="92" spans="1:61" x14ac:dyDescent="0.25">
      <c r="H92" s="91" t="s">
        <v>206</v>
      </c>
      <c r="I92" s="75"/>
      <c r="J92" s="75"/>
      <c r="K92" s="75"/>
      <c r="L92" s="75"/>
      <c r="M92" s="75"/>
      <c r="N92" s="75"/>
      <c r="O92" s="75"/>
    </row>
    <row r="93" spans="1:61" x14ac:dyDescent="0.25">
      <c r="H93" s="75" t="s">
        <v>207</v>
      </c>
    </row>
    <row r="94" spans="1:61" s="90" customFormat="1" x14ac:dyDescent="0.25">
      <c r="A94" s="31"/>
      <c r="B94" s="31"/>
      <c r="C94" s="31"/>
      <c r="D94" s="31"/>
      <c r="E94" s="31"/>
      <c r="F94" s="31"/>
      <c r="G94" s="31"/>
      <c r="H94" s="92"/>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row>
    <row r="95" spans="1:61" x14ac:dyDescent="0.25">
      <c r="H95" s="92"/>
    </row>
    <row r="96" spans="1:61" x14ac:dyDescent="0.25">
      <c r="H96" s="92"/>
    </row>
    <row r="97" spans="1:61" x14ac:dyDescent="0.25">
      <c r="H97" s="92"/>
    </row>
    <row r="98" spans="1:61" x14ac:dyDescent="0.25">
      <c r="H98" s="92"/>
    </row>
    <row r="99" spans="1:61" s="90" customFormat="1" x14ac:dyDescent="0.25">
      <c r="A99" s="31"/>
      <c r="B99" s="31"/>
      <c r="C99" s="31"/>
      <c r="D99" s="31"/>
      <c r="E99" s="31"/>
      <c r="F99" s="31"/>
      <c r="G99" s="31"/>
      <c r="H99" s="92"/>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row>
    <row r="100" spans="1:61" x14ac:dyDescent="0.25">
      <c r="C100" s="1"/>
      <c r="D100" s="1"/>
      <c r="E100" s="11"/>
      <c r="F100" s="1"/>
      <c r="G100" s="1"/>
      <c r="H100" s="92"/>
    </row>
    <row r="101" spans="1:61" x14ac:dyDescent="0.25">
      <c r="H101" s="92"/>
    </row>
    <row r="102" spans="1:61" x14ac:dyDescent="0.25">
      <c r="H102" s="92"/>
    </row>
    <row r="103" spans="1:61" x14ac:dyDescent="0.25">
      <c r="H103" s="92"/>
    </row>
    <row r="104" spans="1:61" x14ac:dyDescent="0.25">
      <c r="H104" s="92"/>
    </row>
    <row r="105" spans="1:61" x14ac:dyDescent="0.25">
      <c r="H105" s="92"/>
    </row>
    <row r="106" spans="1:61" x14ac:dyDescent="0.25">
      <c r="H106" s="92"/>
    </row>
    <row r="107" spans="1:61" x14ac:dyDescent="0.25">
      <c r="H107" s="92"/>
    </row>
    <row r="108" spans="1:61" x14ac:dyDescent="0.25">
      <c r="B108" s="75" t="s">
        <v>189</v>
      </c>
      <c r="C108" s="93" t="s">
        <v>208</v>
      </c>
    </row>
    <row r="110" spans="1:61" s="109" customFormat="1" x14ac:dyDescent="0.25">
      <c r="B110" s="109" t="s">
        <v>209</v>
      </c>
    </row>
    <row r="112" spans="1:61" x14ac:dyDescent="0.25">
      <c r="B112" s="50" t="s">
        <v>210</v>
      </c>
    </row>
    <row r="113" spans="1:15" x14ac:dyDescent="0.25">
      <c r="B113" s="31" t="s">
        <v>211</v>
      </c>
    </row>
    <row r="114" spans="1:15" x14ac:dyDescent="0.25">
      <c r="B114" s="31" t="s">
        <v>212</v>
      </c>
      <c r="O114" s="31" t="s">
        <v>213</v>
      </c>
    </row>
    <row r="115" spans="1:15" x14ac:dyDescent="0.25">
      <c r="B115" s="31" t="s">
        <v>214</v>
      </c>
    </row>
    <row r="116" spans="1:15" x14ac:dyDescent="0.25">
      <c r="B116" s="31" t="s">
        <v>215</v>
      </c>
      <c r="O116" s="31" t="s">
        <v>216</v>
      </c>
    </row>
    <row r="117" spans="1:15" x14ac:dyDescent="0.25">
      <c r="B117" s="31" t="s">
        <v>217</v>
      </c>
    </row>
    <row r="118" spans="1:15" x14ac:dyDescent="0.25">
      <c r="B118" s="31" t="s">
        <v>218</v>
      </c>
    </row>
    <row r="119" spans="1:15" x14ac:dyDescent="0.25">
      <c r="B119" s="31" t="s">
        <v>219</v>
      </c>
    </row>
    <row r="121" spans="1:15" s="108" customFormat="1" x14ac:dyDescent="0.25">
      <c r="B121" s="109" t="s">
        <v>220</v>
      </c>
    </row>
    <row r="122" spans="1:15" x14ac:dyDescent="0.25">
      <c r="B122" s="50"/>
    </row>
    <row r="123" spans="1:15" x14ac:dyDescent="0.25">
      <c r="B123" s="31" t="s">
        <v>221</v>
      </c>
      <c r="E123" s="92">
        <v>0.8</v>
      </c>
      <c r="F123" s="31" t="s">
        <v>222</v>
      </c>
    </row>
    <row r="124" spans="1:15" x14ac:dyDescent="0.25">
      <c r="B124" s="31" t="s">
        <v>223</v>
      </c>
      <c r="C124" s="50"/>
      <c r="D124" s="50"/>
    </row>
    <row r="125" spans="1:15" x14ac:dyDescent="0.25">
      <c r="A125" s="94"/>
      <c r="B125" s="31" t="s">
        <v>224</v>
      </c>
      <c r="D125" s="92"/>
    </row>
    <row r="126" spans="1:15" x14ac:dyDescent="0.25">
      <c r="A126" s="94"/>
      <c r="B126" s="201"/>
      <c r="C126" s="201"/>
      <c r="D126" s="201"/>
      <c r="E126" s="201"/>
      <c r="F126" s="201"/>
      <c r="G126" s="201"/>
      <c r="H126" s="201"/>
      <c r="I126" s="201"/>
      <c r="J126" s="201"/>
      <c r="K126" s="201"/>
    </row>
    <row r="127" spans="1:15" x14ac:dyDescent="0.25">
      <c r="B127" s="75" t="s">
        <v>225</v>
      </c>
    </row>
    <row r="129" spans="1:61" x14ac:dyDescent="0.25">
      <c r="B129" s="50" t="s">
        <v>226</v>
      </c>
    </row>
    <row r="130" spans="1:61" x14ac:dyDescent="0.25">
      <c r="B130" s="31" t="s">
        <v>227</v>
      </c>
    </row>
    <row r="131" spans="1:61" x14ac:dyDescent="0.25">
      <c r="B131" s="202" t="s">
        <v>228</v>
      </c>
      <c r="C131" s="202"/>
      <c r="D131" s="202"/>
      <c r="E131" s="202"/>
      <c r="F131" s="202"/>
      <c r="G131" s="202"/>
      <c r="H131" s="202"/>
      <c r="I131" s="202"/>
      <c r="J131" s="202"/>
      <c r="K131" s="202"/>
    </row>
    <row r="132" spans="1:61" x14ac:dyDescent="0.25">
      <c r="B132" s="202"/>
      <c r="C132" s="202"/>
      <c r="D132" s="202"/>
      <c r="E132" s="202"/>
      <c r="F132" s="202"/>
      <c r="G132" s="202"/>
      <c r="H132" s="202"/>
      <c r="I132" s="202"/>
      <c r="J132" s="202"/>
      <c r="K132" s="202"/>
    </row>
    <row r="133" spans="1:61" x14ac:dyDescent="0.25">
      <c r="B133" s="75" t="s">
        <v>229</v>
      </c>
    </row>
    <row r="134" spans="1:61" x14ac:dyDescent="0.25">
      <c r="B134" s="75" t="s">
        <v>230</v>
      </c>
    </row>
    <row r="136" spans="1:61" s="90" customFormat="1" x14ac:dyDescent="0.2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row>
    <row r="137" spans="1:61" s="108" customFormat="1" x14ac:dyDescent="0.25">
      <c r="B137" s="109" t="s">
        <v>231</v>
      </c>
      <c r="O137" s="109" t="s">
        <v>232</v>
      </c>
    </row>
    <row r="138" spans="1:61" x14ac:dyDescent="0.25">
      <c r="B138" s="50"/>
      <c r="O138" s="50"/>
    </row>
    <row r="139" spans="1:61" x14ac:dyDescent="0.25">
      <c r="B139" s="31" t="s">
        <v>233</v>
      </c>
    </row>
    <row r="140" spans="1:61" ht="17.25" customHeight="1" x14ac:dyDescent="0.25">
      <c r="B140" s="31" t="s">
        <v>234</v>
      </c>
      <c r="O140" s="31" t="s">
        <v>235</v>
      </c>
      <c r="S140" s="31" t="s">
        <v>236</v>
      </c>
    </row>
    <row r="141" spans="1:61" x14ac:dyDescent="0.25">
      <c r="B141" s="31" t="s">
        <v>237</v>
      </c>
      <c r="O141" s="31" t="s">
        <v>238</v>
      </c>
      <c r="S141" s="31" t="s">
        <v>239</v>
      </c>
    </row>
    <row r="142" spans="1:61" x14ac:dyDescent="0.25">
      <c r="B142" s="128" t="s">
        <v>240</v>
      </c>
      <c r="C142" s="128"/>
      <c r="D142" s="128"/>
      <c r="E142" s="128"/>
      <c r="F142" s="128"/>
      <c r="G142" s="128"/>
      <c r="H142" s="128"/>
      <c r="I142" s="128"/>
      <c r="J142" s="128"/>
      <c r="K142" s="128"/>
      <c r="L142" s="128"/>
      <c r="M142" s="128"/>
      <c r="S142" s="31" t="s">
        <v>241</v>
      </c>
    </row>
    <row r="143" spans="1:61" x14ac:dyDescent="0.25">
      <c r="B143" s="128" t="s">
        <v>242</v>
      </c>
      <c r="C143" s="128"/>
      <c r="D143" s="128"/>
      <c r="E143" s="128"/>
      <c r="F143" s="128"/>
      <c r="G143" s="128"/>
      <c r="H143" s="128"/>
      <c r="I143" s="128"/>
      <c r="J143" s="128"/>
      <c r="K143" s="128"/>
      <c r="L143" s="128"/>
      <c r="M143" s="128"/>
    </row>
    <row r="145" spans="1:61" x14ac:dyDescent="0.25">
      <c r="B145" s="31" t="s">
        <v>243</v>
      </c>
    </row>
    <row r="146" spans="1:61" x14ac:dyDescent="0.25">
      <c r="B146" s="75" t="s">
        <v>244</v>
      </c>
    </row>
    <row r="148" spans="1:61" x14ac:dyDescent="0.25">
      <c r="E148" s="31" t="s">
        <v>245</v>
      </c>
      <c r="G148" s="31" t="s">
        <v>246</v>
      </c>
    </row>
    <row r="149" spans="1:61" x14ac:dyDescent="0.25">
      <c r="B149" s="31" t="s">
        <v>247</v>
      </c>
      <c r="E149" s="31">
        <v>3.15</v>
      </c>
      <c r="G149" s="31">
        <v>4.05</v>
      </c>
    </row>
    <row r="151" spans="1:61" s="90" customFormat="1" x14ac:dyDescent="0.25">
      <c r="A151" s="31"/>
      <c r="B151" s="31" t="s">
        <v>248</v>
      </c>
      <c r="C151" s="31"/>
      <c r="D151" s="31"/>
      <c r="E151" s="31">
        <v>2.95</v>
      </c>
      <c r="F151" s="31"/>
      <c r="G151" s="31">
        <v>3.75</v>
      </c>
      <c r="H151" s="31"/>
      <c r="I151" s="31" t="s">
        <v>249</v>
      </c>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row>
    <row r="152" spans="1:61" x14ac:dyDescent="0.25">
      <c r="I152" s="95" t="s">
        <v>250</v>
      </c>
    </row>
    <row r="153" spans="1:61" x14ac:dyDescent="0.25">
      <c r="B153" s="31" t="s">
        <v>251</v>
      </c>
      <c r="E153" s="31">
        <v>3.45</v>
      </c>
      <c r="G153" s="31">
        <v>4.3499999999999996</v>
      </c>
    </row>
    <row r="155" spans="1:61" x14ac:dyDescent="0.25">
      <c r="B155" s="31" t="s">
        <v>252</v>
      </c>
      <c r="E155" s="31">
        <v>3.25</v>
      </c>
      <c r="G155" s="31">
        <v>4.05</v>
      </c>
      <c r="I155" s="31" t="s">
        <v>253</v>
      </c>
    </row>
    <row r="156" spans="1:61" x14ac:dyDescent="0.25">
      <c r="I156" s="31" t="s">
        <v>250</v>
      </c>
    </row>
    <row r="159" spans="1:61" s="108" customFormat="1" x14ac:dyDescent="0.25">
      <c r="B159" s="109" t="s">
        <v>254</v>
      </c>
    </row>
    <row r="161" spans="2:2" x14ac:dyDescent="0.25">
      <c r="B161" s="146" t="s">
        <v>255</v>
      </c>
    </row>
    <row r="162" spans="2:2" x14ac:dyDescent="0.25">
      <c r="B162" s="146" t="s">
        <v>256</v>
      </c>
    </row>
    <row r="163" spans="2:2" x14ac:dyDescent="0.25">
      <c r="B163" s="146" t="s">
        <v>257</v>
      </c>
    </row>
    <row r="164" spans="2:2" x14ac:dyDescent="0.25">
      <c r="B164" s="146" t="s">
        <v>258</v>
      </c>
    </row>
    <row r="165" spans="2:2" x14ac:dyDescent="0.25">
      <c r="B165" s="147" t="s">
        <v>259</v>
      </c>
    </row>
    <row r="167" spans="2:2" x14ac:dyDescent="0.25">
      <c r="B167" s="50" t="s">
        <v>260</v>
      </c>
    </row>
    <row r="168" spans="2:2" x14ac:dyDescent="0.25">
      <c r="B168" s="145" t="s">
        <v>261</v>
      </c>
    </row>
    <row r="169" spans="2:2" x14ac:dyDescent="0.25">
      <c r="B169" s="148" t="s">
        <v>262</v>
      </c>
    </row>
    <row r="194" spans="2:9" ht="15.6" customHeight="1" x14ac:dyDescent="0.25">
      <c r="B194" s="201" t="s">
        <v>263</v>
      </c>
      <c r="C194" s="201"/>
      <c r="D194" s="201"/>
      <c r="E194" s="201"/>
      <c r="F194" s="201"/>
      <c r="G194" s="201"/>
      <c r="H194" s="201"/>
      <c r="I194" s="201"/>
    </row>
    <row r="195" spans="2:9" x14ac:dyDescent="0.25">
      <c r="B195" s="201"/>
      <c r="C195" s="201"/>
      <c r="D195" s="201"/>
      <c r="E195" s="201"/>
      <c r="F195" s="201"/>
      <c r="G195" s="201"/>
      <c r="H195" s="201"/>
      <c r="I195" s="201"/>
    </row>
    <row r="196" spans="2:9" x14ac:dyDescent="0.25">
      <c r="B196" s="201"/>
      <c r="C196" s="201"/>
      <c r="D196" s="201"/>
      <c r="E196" s="201"/>
      <c r="F196" s="201"/>
      <c r="G196" s="201"/>
      <c r="H196" s="201"/>
      <c r="I196" s="201"/>
    </row>
    <row r="197" spans="2:9" x14ac:dyDescent="0.25">
      <c r="B197" s="201"/>
      <c r="C197" s="201"/>
      <c r="D197" s="201"/>
      <c r="E197" s="201"/>
      <c r="F197" s="201"/>
      <c r="G197" s="201"/>
      <c r="H197" s="201"/>
      <c r="I197" s="201"/>
    </row>
    <row r="198" spans="2:9" x14ac:dyDescent="0.25">
      <c r="B198" s="201"/>
      <c r="C198" s="201"/>
      <c r="D198" s="201"/>
      <c r="E198" s="201"/>
      <c r="F198" s="201"/>
      <c r="G198" s="201"/>
      <c r="H198" s="201"/>
      <c r="I198" s="201"/>
    </row>
    <row r="199" spans="2:9" x14ac:dyDescent="0.25">
      <c r="B199" s="201"/>
      <c r="C199" s="201"/>
      <c r="D199" s="201"/>
      <c r="E199" s="201"/>
      <c r="F199" s="201"/>
      <c r="G199" s="201"/>
      <c r="H199" s="201"/>
      <c r="I199" s="201"/>
    </row>
    <row r="200" spans="2:9" x14ac:dyDescent="0.25">
      <c r="B200" s="201"/>
      <c r="C200" s="201"/>
      <c r="D200" s="201"/>
      <c r="E200" s="201"/>
      <c r="F200" s="201"/>
      <c r="G200" s="201"/>
      <c r="H200" s="201"/>
      <c r="I200" s="201"/>
    </row>
    <row r="201" spans="2:9" x14ac:dyDescent="0.25">
      <c r="B201" s="201"/>
      <c r="C201" s="201"/>
      <c r="D201" s="201"/>
      <c r="E201" s="201"/>
      <c r="F201" s="201"/>
      <c r="G201" s="201"/>
      <c r="H201" s="201"/>
      <c r="I201" s="201"/>
    </row>
    <row r="202" spans="2:9" x14ac:dyDescent="0.25">
      <c r="B202" s="31" t="s">
        <v>264</v>
      </c>
      <c r="D202" s="144" t="s">
        <v>265</v>
      </c>
    </row>
    <row r="211" spans="2:15" s="108" customFormat="1" x14ac:dyDescent="0.25">
      <c r="B211" s="109" t="s">
        <v>266</v>
      </c>
    </row>
    <row r="213" spans="2:15" ht="15.6" customHeight="1" x14ac:dyDescent="0.25">
      <c r="B213" s="150" t="s">
        <v>267</v>
      </c>
      <c r="C213" s="149"/>
      <c r="D213" s="149"/>
      <c r="E213" s="149"/>
      <c r="F213" s="149"/>
      <c r="G213" s="149"/>
      <c r="H213" s="149"/>
      <c r="I213" s="149"/>
      <c r="J213" s="149"/>
      <c r="K213" s="149"/>
      <c r="L213" s="149"/>
      <c r="M213" s="149"/>
      <c r="N213" s="149"/>
      <c r="O213" s="149"/>
    </row>
    <row r="214" spans="2:15" x14ac:dyDescent="0.25">
      <c r="B214" s="150" t="s">
        <v>268</v>
      </c>
      <c r="C214" s="149"/>
      <c r="D214" s="149"/>
      <c r="E214" s="149"/>
      <c r="F214" s="149"/>
      <c r="G214" s="149"/>
      <c r="H214" s="149"/>
      <c r="I214" s="149"/>
      <c r="J214" s="149"/>
      <c r="K214" s="149"/>
      <c r="L214" s="149"/>
      <c r="M214" s="149"/>
      <c r="N214" s="149"/>
      <c r="O214" s="149"/>
    </row>
    <row r="215" spans="2:15" x14ac:dyDescent="0.25">
      <c r="B215" s="149"/>
      <c r="C215" s="149"/>
      <c r="D215" s="149"/>
      <c r="E215" s="149"/>
      <c r="F215" s="149"/>
      <c r="G215" s="149"/>
      <c r="H215" s="149"/>
      <c r="I215" s="149"/>
      <c r="J215" s="149"/>
      <c r="K215" s="149"/>
      <c r="L215" s="149"/>
      <c r="M215" s="149"/>
      <c r="N215" s="149"/>
      <c r="O215" s="149"/>
    </row>
    <row r="216" spans="2:15" x14ac:dyDescent="0.25">
      <c r="B216" s="31" t="s">
        <v>269</v>
      </c>
      <c r="C216" s="149"/>
      <c r="D216" s="149"/>
      <c r="E216" s="149"/>
      <c r="F216" s="149"/>
      <c r="G216" s="149"/>
      <c r="H216" s="149"/>
      <c r="I216" s="149"/>
      <c r="J216" s="149"/>
    </row>
    <row r="217" spans="2:15" x14ac:dyDescent="0.25">
      <c r="B217" s="147" t="s">
        <v>270</v>
      </c>
      <c r="C217" s="149"/>
      <c r="D217" s="149"/>
      <c r="E217" s="149"/>
      <c r="F217" s="149"/>
      <c r="G217" s="149"/>
      <c r="H217" s="149"/>
      <c r="I217" s="149"/>
      <c r="J217" s="149"/>
    </row>
    <row r="218" spans="2:15" x14ac:dyDescent="0.25">
      <c r="B218" s="31" t="s">
        <v>271</v>
      </c>
    </row>
    <row r="221" spans="2:15" x14ac:dyDescent="0.25">
      <c r="B221" s="50" t="s">
        <v>272</v>
      </c>
    </row>
    <row r="222" spans="2:15" x14ac:dyDescent="0.25">
      <c r="B222" s="31" t="s">
        <v>273</v>
      </c>
    </row>
    <row r="223" spans="2:15" x14ac:dyDescent="0.25">
      <c r="B223" s="106" t="s">
        <v>274</v>
      </c>
    </row>
    <row r="224" spans="2:15" x14ac:dyDescent="0.25">
      <c r="B224" s="176" t="s">
        <v>275</v>
      </c>
    </row>
    <row r="225" spans="2:11" x14ac:dyDescent="0.25">
      <c r="B225" s="31" t="s">
        <v>276</v>
      </c>
    </row>
    <row r="226" spans="2:11" x14ac:dyDescent="0.25">
      <c r="B226" s="31" t="s">
        <v>277</v>
      </c>
    </row>
    <row r="227" spans="2:11" x14ac:dyDescent="0.25">
      <c r="B227" s="31" t="s">
        <v>278</v>
      </c>
    </row>
    <row r="228" spans="2:11" x14ac:dyDescent="0.25">
      <c r="B228" s="31" t="s">
        <v>279</v>
      </c>
    </row>
    <row r="229" spans="2:11" x14ac:dyDescent="0.25">
      <c r="B229" s="31" t="s">
        <v>280</v>
      </c>
    </row>
    <row r="230" spans="2:11" x14ac:dyDescent="0.25">
      <c r="B230" s="31" t="s">
        <v>281</v>
      </c>
    </row>
    <row r="233" spans="2:11" s="110" customFormat="1" x14ac:dyDescent="0.25">
      <c r="B233" s="179" t="s">
        <v>282</v>
      </c>
    </row>
    <row r="235" spans="2:11" x14ac:dyDescent="0.25">
      <c r="B235" s="50" t="s">
        <v>283</v>
      </c>
    </row>
    <row r="237" spans="2:11" x14ac:dyDescent="0.25">
      <c r="B237" s="96" t="s">
        <v>90</v>
      </c>
      <c r="C237" s="50" t="s">
        <v>284</v>
      </c>
      <c r="D237" s="92"/>
      <c r="E237" s="96"/>
      <c r="F237" s="92"/>
    </row>
    <row r="238" spans="2:11" x14ac:dyDescent="0.25">
      <c r="B238" s="92">
        <v>2011</v>
      </c>
      <c r="C238" s="97">
        <v>2979.4</v>
      </c>
      <c r="D238" s="92"/>
      <c r="E238" s="95"/>
      <c r="H238" s="97"/>
      <c r="I238" s="92"/>
      <c r="J238" s="92"/>
      <c r="K238" s="92"/>
    </row>
    <row r="239" spans="2:11" x14ac:dyDescent="0.25">
      <c r="B239" s="92">
        <v>2012</v>
      </c>
      <c r="C239" s="97">
        <v>3235.4</v>
      </c>
      <c r="D239" s="92"/>
      <c r="E239" s="95"/>
      <c r="H239" s="97"/>
      <c r="I239" s="92"/>
      <c r="J239" s="92"/>
      <c r="K239" s="92"/>
    </row>
    <row r="240" spans="2:11" x14ac:dyDescent="0.25">
      <c r="B240" s="92">
        <v>2013</v>
      </c>
      <c r="C240" s="97">
        <v>3208.8</v>
      </c>
      <c r="D240" s="92"/>
      <c r="E240" s="95"/>
      <c r="H240" s="97"/>
      <c r="I240" s="92"/>
      <c r="J240" s="92"/>
      <c r="K240" s="92"/>
    </row>
    <row r="241" spans="1:61" x14ac:dyDescent="0.25">
      <c r="B241" s="92">
        <v>2014</v>
      </c>
      <c r="C241" s="97">
        <v>2663.5</v>
      </c>
      <c r="D241" s="92"/>
      <c r="E241" s="92"/>
      <c r="F241" s="97"/>
      <c r="G241" s="92"/>
      <c r="H241" s="92"/>
      <c r="I241" s="92"/>
      <c r="J241" s="92"/>
      <c r="K241" s="92"/>
    </row>
    <row r="242" spans="1:61" x14ac:dyDescent="0.25">
      <c r="B242" s="92">
        <v>2015</v>
      </c>
      <c r="C242" s="97">
        <v>2921.8</v>
      </c>
      <c r="D242" s="92"/>
      <c r="E242" s="92"/>
      <c r="F242" s="92"/>
      <c r="G242" s="92"/>
      <c r="H242" s="92"/>
      <c r="I242" s="92"/>
      <c r="J242" s="92"/>
      <c r="K242" s="92"/>
    </row>
    <row r="243" spans="1:61" x14ac:dyDescent="0.25">
      <c r="B243" s="92">
        <v>2016</v>
      </c>
      <c r="C243" s="97">
        <v>2998.9</v>
      </c>
      <c r="D243" s="92"/>
      <c r="E243" s="92"/>
      <c r="F243" s="92"/>
      <c r="G243" s="92"/>
      <c r="H243" s="92"/>
      <c r="I243" s="92"/>
      <c r="J243" s="92"/>
      <c r="K243" s="92"/>
    </row>
    <row r="244" spans="1:61" x14ac:dyDescent="0.25">
      <c r="B244" s="92">
        <v>2017</v>
      </c>
      <c r="C244" s="97">
        <v>2971.4</v>
      </c>
      <c r="D244" s="92"/>
      <c r="E244" s="92"/>
      <c r="F244" s="92"/>
      <c r="G244" s="92"/>
      <c r="H244" s="92"/>
      <c r="I244" s="92"/>
      <c r="J244" s="92"/>
      <c r="K244" s="92"/>
    </row>
    <row r="245" spans="1:61" s="90" customFormat="1" x14ac:dyDescent="0.25">
      <c r="A245" s="31"/>
      <c r="B245" s="92">
        <v>2018</v>
      </c>
      <c r="C245" s="97">
        <v>2887.5</v>
      </c>
      <c r="D245" s="92"/>
      <c r="E245" s="92"/>
      <c r="F245" s="92"/>
      <c r="G245" s="92"/>
      <c r="H245" s="92"/>
      <c r="I245" s="92"/>
      <c r="J245" s="92"/>
      <c r="K245" s="92"/>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row>
    <row r="246" spans="1:61" x14ac:dyDescent="0.25">
      <c r="B246" s="92">
        <v>2019</v>
      </c>
      <c r="C246" s="97">
        <v>2847.3</v>
      </c>
      <c r="D246" s="92"/>
      <c r="E246" s="92"/>
      <c r="F246" s="92"/>
      <c r="G246" s="92"/>
      <c r="H246" s="92"/>
      <c r="I246" s="92"/>
      <c r="J246" s="92"/>
      <c r="K246" s="92"/>
    </row>
    <row r="247" spans="1:61" x14ac:dyDescent="0.25">
      <c r="B247" s="92">
        <v>2020</v>
      </c>
      <c r="C247" s="97">
        <v>2714.5</v>
      </c>
      <c r="D247" s="92"/>
      <c r="E247" s="92"/>
      <c r="F247" s="92"/>
      <c r="G247" s="92"/>
      <c r="H247" s="92"/>
      <c r="I247" s="92"/>
      <c r="J247" s="92"/>
      <c r="K247" s="92"/>
    </row>
    <row r="248" spans="1:61" x14ac:dyDescent="0.25">
      <c r="B248" s="92">
        <v>2021</v>
      </c>
      <c r="C248" s="97">
        <v>3098.4</v>
      </c>
      <c r="D248" s="92"/>
      <c r="E248" s="92"/>
      <c r="F248" s="92"/>
      <c r="G248" s="92"/>
      <c r="H248" s="92"/>
      <c r="I248" s="92"/>
      <c r="J248" s="92"/>
      <c r="K248" s="92"/>
    </row>
    <row r="249" spans="1:61" x14ac:dyDescent="0.25">
      <c r="B249" s="92">
        <v>2022</v>
      </c>
      <c r="C249" s="92">
        <v>2547.6999999999998</v>
      </c>
      <c r="D249" s="92"/>
      <c r="E249" s="92"/>
      <c r="F249" s="92"/>
      <c r="G249" s="92"/>
      <c r="H249" s="92"/>
      <c r="I249" s="92"/>
      <c r="J249" s="92"/>
      <c r="K249" s="92"/>
    </row>
    <row r="250" spans="1:61" x14ac:dyDescent="0.25">
      <c r="B250" s="92">
        <v>2023</v>
      </c>
      <c r="C250" s="180">
        <v>2605.23</v>
      </c>
      <c r="D250" s="92"/>
      <c r="E250" s="92"/>
      <c r="F250" s="92"/>
      <c r="G250" s="92"/>
      <c r="H250" s="92"/>
      <c r="I250" s="92"/>
      <c r="J250" s="92"/>
      <c r="K250" s="92"/>
    </row>
    <row r="251" spans="1:61" x14ac:dyDescent="0.25">
      <c r="B251" s="92">
        <v>2024</v>
      </c>
      <c r="C251" s="180" t="s">
        <v>285</v>
      </c>
      <c r="D251" s="92"/>
      <c r="E251" s="92"/>
      <c r="F251" s="92"/>
      <c r="G251" s="92"/>
      <c r="H251" s="92"/>
      <c r="I251" s="92"/>
      <c r="J251" s="92"/>
      <c r="K251" s="92"/>
    </row>
    <row r="252" spans="1:61" x14ac:dyDescent="0.25">
      <c r="B252" s="92"/>
      <c r="C252" s="92"/>
      <c r="D252" s="92"/>
      <c r="E252" s="92"/>
      <c r="F252" s="92"/>
      <c r="G252" s="92"/>
      <c r="H252" s="92"/>
      <c r="I252" s="92"/>
      <c r="J252" s="92"/>
      <c r="K252" s="92"/>
    </row>
    <row r="253" spans="1:61" x14ac:dyDescent="0.25">
      <c r="B253" s="92" t="s">
        <v>286</v>
      </c>
      <c r="C253" s="97">
        <v>2957</v>
      </c>
      <c r="D253" s="95" t="s">
        <v>287</v>
      </c>
      <c r="E253" s="92"/>
      <c r="F253" s="92"/>
      <c r="G253" s="92"/>
      <c r="H253" s="92"/>
      <c r="I253" s="92"/>
      <c r="J253" s="92"/>
      <c r="K253" s="92"/>
    </row>
    <row r="254" spans="1:61" x14ac:dyDescent="0.25">
      <c r="B254" s="91" t="s">
        <v>288</v>
      </c>
      <c r="D254" s="92"/>
      <c r="E254" s="92"/>
      <c r="F254" s="92"/>
      <c r="G254" s="92"/>
      <c r="H254" s="92"/>
      <c r="I254" s="92"/>
      <c r="J254" s="92"/>
      <c r="K254" s="92"/>
    </row>
    <row r="257" spans="2:6" x14ac:dyDescent="0.25">
      <c r="B257" s="50" t="s">
        <v>289</v>
      </c>
    </row>
    <row r="258" spans="2:6" x14ac:dyDescent="0.25">
      <c r="B258" s="31" t="s">
        <v>290</v>
      </c>
      <c r="E258" s="31">
        <v>11.02</v>
      </c>
      <c r="F258" s="31" t="s">
        <v>291</v>
      </c>
    </row>
    <row r="259" spans="2:6" x14ac:dyDescent="0.25">
      <c r="B259" s="31" t="s">
        <v>292</v>
      </c>
      <c r="E259" s="31">
        <v>4.8600000000000003</v>
      </c>
      <c r="F259" s="31" t="s">
        <v>293</v>
      </c>
    </row>
    <row r="260" spans="2:6" x14ac:dyDescent="0.25">
      <c r="B260" s="20" t="s">
        <v>294</v>
      </c>
    </row>
    <row r="263" spans="2:6" x14ac:dyDescent="0.25">
      <c r="B263" s="50" t="s">
        <v>295</v>
      </c>
    </row>
    <row r="264" spans="2:6" x14ac:dyDescent="0.25">
      <c r="B264" s="31" t="s">
        <v>76</v>
      </c>
      <c r="D264" s="31" t="s">
        <v>86</v>
      </c>
    </row>
    <row r="265" spans="2:6" x14ac:dyDescent="0.25">
      <c r="B265" s="31" t="s">
        <v>60</v>
      </c>
      <c r="D265" s="31" t="s">
        <v>88</v>
      </c>
    </row>
    <row r="269" spans="2:6" x14ac:dyDescent="0.25">
      <c r="B269" s="31" t="s">
        <v>296</v>
      </c>
    </row>
    <row r="270" spans="2:6" x14ac:dyDescent="0.25">
      <c r="B270" s="31">
        <v>7410</v>
      </c>
    </row>
  </sheetData>
  <sheetProtection algorithmName="SHA-512" hashValue="M1KuPyRk5QtBHt2xjFCwvfSYQY1wZyDoS+izPm9T9Biuib7aK3TTsfRO1PxjgQ7BiWKc2VF6VWFdl8gbgYe8Zg==" saltValue="dBfMSTDwzTFkQJWLwYmL+w==" spinCount="100000" sheet="1" objects="1" scenarios="1"/>
  <mergeCells count="3">
    <mergeCell ref="B126:K126"/>
    <mergeCell ref="B131:K132"/>
    <mergeCell ref="B194:I201"/>
  </mergeCells>
  <hyperlinks>
    <hyperlink ref="C108" r:id="rId1" xr:uid="{E6B8A2E6-9EFF-4218-8264-4B0E3298330C}"/>
    <hyperlink ref="N9" r:id="rId2" xr:uid="{ED4085F8-BD71-4EAA-A779-44284805C0E8}"/>
    <hyperlink ref="B76" r:id="rId3" xr:uid="{B3B95DDE-AB5B-473A-880C-6030B1C312FB}"/>
    <hyperlink ref="P46" r:id="rId4" xr:uid="{76177A05-9172-4EBA-8498-A23997F29689}"/>
    <hyperlink ref="P54" r:id="rId5" xr:uid="{D01F3149-C1CD-4953-AC71-B18EE1E27B9B}"/>
    <hyperlink ref="E74" r:id="rId6" xr:uid="{FD92566A-894B-4DA8-B311-775C41283941}"/>
    <hyperlink ref="K66" r:id="rId7" xr:uid="{9E89F62C-B68F-4200-818A-92CCC1CA3A4C}"/>
    <hyperlink ref="B217" r:id="rId8" xr:uid="{6F39F09A-36B7-4B7C-B974-D9A9692338F8}"/>
    <hyperlink ref="B165" r:id="rId9" xr:uid="{19C3B0BE-A7C9-4498-82B8-4014DBD7CBC7}"/>
    <hyperlink ref="B168" r:id="rId10" xr:uid="{A64952DC-93A3-4695-B766-8C4C03F7E189}"/>
    <hyperlink ref="D202" r:id="rId11" display="https://www.billigventilation.dk/shop/bosch-compress-7000i-aw-13-4689p.html" xr:uid="{34909105-A7BB-4642-AB64-3BDDEBEEBD2F}"/>
    <hyperlink ref="B223" r:id="rId12" xr:uid="{6CC9E186-1A7B-4E9C-BB44-0E875E4D28B0}"/>
  </hyperlinks>
  <pageMargins left="0.7" right="0.7" top="0.75" bottom="0.75" header="0.3" footer="0.3"/>
  <pageSetup orientation="portrait" r:id="rId13"/>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7FF9C-4F2B-4CD3-9319-EF14764E4FC8}">
  <dimension ref="B2:J61"/>
  <sheetViews>
    <sheetView topLeftCell="A6" zoomScale="85" zoomScaleNormal="85" workbookViewId="0">
      <selection activeCell="E26" sqref="E26"/>
    </sheetView>
  </sheetViews>
  <sheetFormatPr defaultColWidth="9.140625" defaultRowHeight="15" x14ac:dyDescent="0.25"/>
  <cols>
    <col min="1" max="1" width="3.42578125" style="60" customWidth="1"/>
    <col min="2" max="2" width="5.7109375" style="60" customWidth="1"/>
    <col min="3" max="3" width="20.42578125" style="60" customWidth="1"/>
    <col min="4" max="4" width="16.28515625" style="60" customWidth="1"/>
    <col min="5" max="5" width="16.140625" style="60" customWidth="1"/>
    <col min="6" max="6" width="15.28515625" style="60" customWidth="1"/>
    <col min="7" max="7" width="12.85546875" style="60" customWidth="1"/>
    <col min="8" max="8" width="22.85546875" style="60" customWidth="1"/>
    <col min="9" max="9" width="48.5703125" style="60" customWidth="1"/>
    <col min="10" max="10" width="49.42578125" style="60" customWidth="1"/>
    <col min="11" max="16384" width="9.140625" style="60"/>
  </cols>
  <sheetData>
    <row r="2" spans="2:10" ht="15" customHeight="1" x14ac:dyDescent="0.25">
      <c r="C2" s="203" t="s">
        <v>297</v>
      </c>
      <c r="D2" s="203"/>
      <c r="E2" s="203"/>
      <c r="F2" s="203"/>
    </row>
    <row r="3" spans="2:10" ht="15" customHeight="1" x14ac:dyDescent="0.25">
      <c r="B3" s="72"/>
      <c r="C3" s="203"/>
      <c r="D3" s="203"/>
      <c r="E3" s="203"/>
      <c r="F3" s="203"/>
    </row>
    <row r="4" spans="2:10" x14ac:dyDescent="0.25">
      <c r="F4" s="61"/>
    </row>
    <row r="5" spans="2:10" ht="21" customHeight="1" x14ac:dyDescent="0.25">
      <c r="C5" s="204" t="s">
        <v>298</v>
      </c>
      <c r="D5" s="204"/>
      <c r="E5" s="204"/>
      <c r="F5" s="204"/>
    </row>
    <row r="6" spans="2:10" ht="31.5" customHeight="1" x14ac:dyDescent="0.25">
      <c r="B6" s="76" t="s">
        <v>90</v>
      </c>
      <c r="C6" s="59" t="s">
        <v>299</v>
      </c>
      <c r="D6" s="58" t="s">
        <v>300</v>
      </c>
      <c r="E6" s="59" t="str">
        <f>IF(Prisberegner!$E$135="Ja","Varmepumpe","")</f>
        <v>Varmepumpe</v>
      </c>
      <c r="F6" s="77" t="str">
        <f>IF(Prisberegner!$E$161="Ja","Træpillekedel","")</f>
        <v/>
      </c>
      <c r="G6" s="8" t="s">
        <v>301</v>
      </c>
      <c r="I6" s="160" t="s">
        <v>302</v>
      </c>
      <c r="J6" s="161"/>
    </row>
    <row r="7" spans="2:10" x14ac:dyDescent="0.25">
      <c r="B7" s="66">
        <v>1</v>
      </c>
      <c r="C7" s="67">
        <f>IF(B7&lt;Prisberegner!$E$50+1,Prisberegner!$E$47,IF(Prisberegner!$E$52&gt;0,Prisberegner!$E$55,Prisberegner!$E$47))</f>
        <v>27776.638264910925</v>
      </c>
      <c r="D7" s="142">
        <f>Prisberegner!$E$108+IF(B7&gt;Prisberegner!$E$94,-Prisberegner!$E$95,0)+IF(AND(B7&gt;Prisberegner!$E$100,Prisberegner!$E$104&gt;0),-(Prisberegner!$E$101-Prisberegner!$E$105),0)+IF(AND(Prisberegner!$D$83="Ja",'Tabel resultat'!B7&gt;Prisberegner!$E$84),-Prisberegner!$E$83*12,0)-IF(AND(Prisberegner!$E$100=1,B7&gt;1),Prisberegner!$E$101,0)</f>
        <v>25983.527212212182</v>
      </c>
      <c r="E7" s="67">
        <f>IF(Prisberegner!$E$135="Ja",IF(B7&lt;Prisberegner!$E$150+1,Prisberegner!$E$152,IF(Prisberegner!E$155&gt;0,Prisberegner!E$157,Prisberegner!$E$152)),NA())</f>
        <v>31971.980066323555</v>
      </c>
      <c r="F7" s="67" t="e">
        <f>IF(Prisberegner!$E$161="Ja",IF(B7&lt;Prisberegner!$E$177+1,Prisberegner!$E$179,IF(Prisberegner!E$182&gt;0,Prisberegner!E$184,Prisberegner!$E$179)),NA())</f>
        <v>#N/A</v>
      </c>
      <c r="G7" s="153">
        <f>C7-D7</f>
        <v>1793.1110526987432</v>
      </c>
      <c r="I7" s="162"/>
      <c r="J7" s="163"/>
    </row>
    <row r="8" spans="2:10" x14ac:dyDescent="0.25">
      <c r="B8" s="66">
        <v>2</v>
      </c>
      <c r="C8" s="67">
        <f>IF(B8&lt;Prisberegner!$E$50+1,Prisberegner!$E$47,IF(Prisberegner!$E$52&gt;0,Prisberegner!$E$55,Prisberegner!$E$47))</f>
        <v>27776.638264910925</v>
      </c>
      <c r="D8" s="142">
        <f>Prisberegner!$E$108+IF(B8&gt;Prisberegner!$E$94,-Prisberegner!$E$95,0)+IF(AND(B8&gt;Prisberegner!$E$100,Prisberegner!$E$104&gt;0),-(Prisberegner!$E$101-Prisberegner!$E$105),0)+IF(AND(Prisberegner!$D$83="Ja",'Tabel resultat'!B8&gt;Prisberegner!$E$84),-Prisberegner!$E$83*12,0)-IF(AND(Prisberegner!$E$100=1,B8&gt;1),Prisberegner!$E$101,0)</f>
        <v>25983.527212212182</v>
      </c>
      <c r="E8" s="67">
        <f>IF(Prisberegner!$E$135="Ja",IF(B8&lt;Prisberegner!$E$150+1,Prisberegner!$E$152,IF(Prisberegner!E$155&gt;0,Prisberegner!E$157,Prisberegner!$E$152)),NA())</f>
        <v>31971.980066323555</v>
      </c>
      <c r="F8" s="67" t="e">
        <f>IF(Prisberegner!$E$161="Ja",IF(B8&lt;Prisberegner!$E$177+1,Prisberegner!$E$179,IF(Prisberegner!E$182&gt;0,Prisberegner!E$184,Prisberegner!$E$179)),NA())</f>
        <v>#N/A</v>
      </c>
      <c r="G8" s="153">
        <f t="shared" ref="G8:G56" si="0">C8-D8</f>
        <v>1793.1110526987432</v>
      </c>
      <c r="I8" s="162" t="s">
        <v>303</v>
      </c>
      <c r="J8" s="164">
        <f>Prisberegner!E84</f>
        <v>10</v>
      </c>
    </row>
    <row r="9" spans="2:10" x14ac:dyDescent="0.25">
      <c r="B9" s="66">
        <v>3</v>
      </c>
      <c r="C9" s="67">
        <f>IF(B9&lt;Prisberegner!$E$50+1,Prisberegner!$E$47,IF(Prisberegner!$E$52&gt;0,Prisberegner!$E$55,Prisberegner!$E$47))</f>
        <v>30585.128816585122</v>
      </c>
      <c r="D9" s="142">
        <f>Prisberegner!$E$108+IF(B9&gt;Prisberegner!$E$94,-Prisberegner!$E$95,0)+IF(AND(B9&gt;Prisberegner!$E$100,Prisberegner!$E$104&gt;0),-(Prisberegner!$E$101-Prisberegner!$E$105),0)+IF(AND(Prisberegner!$D$83="Ja",'Tabel resultat'!B9&gt;Prisberegner!$E$84),-Prisberegner!$E$83*12,0)-IF(AND(Prisberegner!$E$100=1,B9&gt;1),Prisberegner!$E$101,0)</f>
        <v>25983.527212212182</v>
      </c>
      <c r="E9" s="67">
        <f>IF(Prisberegner!$E$135="Ja",IF(B9&lt;Prisberegner!$E$150+1,Prisberegner!$E$152,IF(Prisberegner!E$155&gt;0,Prisberegner!E$157,Prisberegner!$E$152)),NA())</f>
        <v>31971.980066323555</v>
      </c>
      <c r="F9" s="67" t="e">
        <f>IF(Prisberegner!$E$161="Ja",IF(B9&lt;Prisberegner!$E$177+1,Prisberegner!$E$179,IF(Prisberegner!E$182&gt;0,Prisberegner!E$184,Prisberegner!$E$179)),NA())</f>
        <v>#N/A</v>
      </c>
      <c r="G9" s="153">
        <f t="shared" si="0"/>
        <v>4601.6016043729396</v>
      </c>
      <c r="I9" s="165" t="s">
        <v>304</v>
      </c>
      <c r="J9" s="164">
        <f>Prisberegner!E94</f>
        <v>30</v>
      </c>
    </row>
    <row r="10" spans="2:10" x14ac:dyDescent="0.25">
      <c r="B10" s="66">
        <v>4</v>
      </c>
      <c r="C10" s="67">
        <f>IF(B10&lt;Prisberegner!$E$50+1,Prisberegner!$E$47,IF(Prisberegner!$E$52&gt;0,Prisberegner!$E$55,Prisberegner!$E$47))</f>
        <v>30585.128816585122</v>
      </c>
      <c r="D10" s="142">
        <f>Prisberegner!$E$108+IF(B10&gt;Prisberegner!$E$94,-Prisberegner!$E$95,0)+IF(AND(B10&gt;Prisberegner!$E$100,Prisberegner!$E$104&gt;0),-(Prisberegner!$E$101-Prisberegner!$E$105),0)+IF(AND(Prisberegner!$D$83="Ja",'Tabel resultat'!B10&gt;Prisberegner!$E$84),-Prisberegner!$E$83*12,0)-IF(AND(Prisberegner!$E$100=1,B10&gt;1),Prisberegner!$E$101,0)</f>
        <v>25983.527212212182</v>
      </c>
      <c r="E10" s="67">
        <f>IF(Prisberegner!$E$135="Ja",IF(B10&lt;Prisberegner!$E$150+1,Prisberegner!$E$152,IF(Prisberegner!E$155&gt;0,Prisberegner!E$157,Prisberegner!$E$152)),NA())</f>
        <v>31971.980066323555</v>
      </c>
      <c r="F10" s="67" t="e">
        <f>IF(Prisberegner!$E$161="Ja",IF(B10&lt;Prisberegner!$E$177+1,Prisberegner!$E$179,IF(Prisberegner!E$182&gt;0,Prisberegner!E$184,Prisberegner!$E$179)),NA())</f>
        <v>#N/A</v>
      </c>
      <c r="G10" s="153">
        <f t="shared" si="0"/>
        <v>4601.6016043729396</v>
      </c>
      <c r="I10" s="165" t="s">
        <v>107</v>
      </c>
      <c r="J10" s="164">
        <f>Prisberegner!E100</f>
        <v>30</v>
      </c>
    </row>
    <row r="11" spans="2:10" x14ac:dyDescent="0.25">
      <c r="B11" s="66">
        <v>5</v>
      </c>
      <c r="C11" s="67">
        <f>IF(B11&lt;Prisberegner!$E$50+1,Prisberegner!$E$47,IF(Prisberegner!$E$52&gt;0,Prisberegner!$E$55,Prisberegner!$E$47))</f>
        <v>30585.128816585122</v>
      </c>
      <c r="D11" s="142">
        <f>Prisberegner!$E$108+IF(B11&gt;Prisberegner!$E$94,-Prisberegner!$E$95,0)+IF(AND(B11&gt;Prisberegner!$E$100,Prisberegner!$E$104&gt;0),-(Prisberegner!$E$101-Prisberegner!$E$105),0)+IF(AND(Prisberegner!$D$83="Ja",'Tabel resultat'!B11&gt;Prisberegner!$E$84),-Prisberegner!$E$83*12,0)-IF(AND(Prisberegner!$E$100=1,B11&gt;1),Prisberegner!$E$101,0)</f>
        <v>25983.527212212182</v>
      </c>
      <c r="E11" s="67">
        <f>IF(Prisberegner!$E$135="Ja",IF(B11&lt;Prisberegner!$E$150+1,Prisberegner!$E$152,IF(Prisberegner!E$155&gt;0,Prisberegner!E$157,Prisberegner!$E$152)),NA())</f>
        <v>31971.980066323555</v>
      </c>
      <c r="F11" s="67" t="e">
        <f>IF(Prisberegner!$E$161="Ja",IF(B11&lt;Prisberegner!$E$177+1,Prisberegner!$E$179,IF(Prisberegner!E$182&gt;0,Prisberegner!E$184,Prisberegner!$E$179)),NA())</f>
        <v>#N/A</v>
      </c>
      <c r="G11" s="153">
        <f t="shared" si="0"/>
        <v>4601.6016043729396</v>
      </c>
      <c r="I11" s="165" t="s">
        <v>305</v>
      </c>
      <c r="J11" s="164">
        <f>Prisberegner!E50</f>
        <v>2</v>
      </c>
    </row>
    <row r="12" spans="2:10" x14ac:dyDescent="0.25">
      <c r="B12" s="66">
        <v>6</v>
      </c>
      <c r="C12" s="67">
        <f>IF(B12&lt;Prisberegner!$E$50+1,Prisberegner!$E$47,IF(Prisberegner!$E$52&gt;0,Prisberegner!$E$55,Prisberegner!$E$47))</f>
        <v>30585.128816585122</v>
      </c>
      <c r="D12" s="142">
        <f>Prisberegner!$E$108+IF(B12&gt;Prisberegner!$E$94,-Prisberegner!$E$95,0)+IF(AND(B12&gt;Prisberegner!$E$100,Prisberegner!$E$104&gt;0),-(Prisberegner!$E$101-Prisberegner!$E$105),0)+IF(AND(Prisberegner!$D$83="Ja",'Tabel resultat'!B12&gt;Prisberegner!$E$84),-Prisberegner!$E$83*12,0)-IF(AND(Prisberegner!$E$100=1,B12&gt;1),Prisberegner!$E$101,0)</f>
        <v>25983.527212212182</v>
      </c>
      <c r="E12" s="67">
        <f>IF(Prisberegner!$E$135="Ja",IF(B12&lt;Prisberegner!$E$150+1,Prisberegner!$E$152,IF(Prisberegner!E$155&gt;0,Prisberegner!E$157,Prisberegner!$E$152)),NA())</f>
        <v>31971.980066323555</v>
      </c>
      <c r="F12" s="67" t="e">
        <f>IF(Prisberegner!$E$161="Ja",IF(B12&lt;Prisberegner!$E$177+1,Prisberegner!$E$179,IF(Prisberegner!E$182&gt;0,Prisberegner!E$184,Prisberegner!$E$179)),NA())</f>
        <v>#N/A</v>
      </c>
      <c r="G12" s="153">
        <f t="shared" si="0"/>
        <v>4601.6016043729396</v>
      </c>
      <c r="I12" s="162"/>
      <c r="J12" s="163"/>
    </row>
    <row r="13" spans="2:10" x14ac:dyDescent="0.25">
      <c r="B13" s="66">
        <v>7</v>
      </c>
      <c r="C13" s="67">
        <f>IF(B13&lt;Prisberegner!$E$50+1,Prisberegner!$E$47,IF(Prisberegner!$E$52&gt;0,Prisberegner!$E$55,Prisberegner!$E$47))</f>
        <v>30585.128816585122</v>
      </c>
      <c r="D13" s="142">
        <f>Prisberegner!$E$108+IF(B13&gt;Prisberegner!$E$94,-Prisberegner!$E$95,0)+IF(AND(B13&gt;Prisberegner!$E$100,Prisberegner!$E$104&gt;0),-(Prisberegner!$E$101-Prisberegner!$E$105),0)+IF(AND(Prisberegner!$D$83="Ja",'Tabel resultat'!B13&gt;Prisberegner!$E$84),-Prisberegner!$E$83*12,0)-IF(AND(Prisberegner!$E$100=1,B13&gt;1),Prisberegner!$E$101,0)</f>
        <v>25983.527212212182</v>
      </c>
      <c r="E13" s="67">
        <f>IF(Prisberegner!$E$135="Ja",IF(B13&lt;Prisberegner!$E$150+1,Prisberegner!$E$152,IF(Prisberegner!E$155&gt;0,Prisberegner!E$157,Prisberegner!$E$152)),NA())</f>
        <v>31971.980066323555</v>
      </c>
      <c r="F13" s="67" t="e">
        <f>IF(Prisberegner!$E$161="Ja",IF(B13&lt;Prisberegner!$E$177+1,Prisberegner!$E$179,IF(Prisberegner!E$182&gt;0,Prisberegner!E$184,Prisberegner!$E$179)),NA())</f>
        <v>#N/A</v>
      </c>
      <c r="G13" s="153">
        <f t="shared" si="0"/>
        <v>4601.6016043729396</v>
      </c>
      <c r="I13" s="162"/>
      <c r="J13" s="163"/>
    </row>
    <row r="14" spans="2:10" x14ac:dyDescent="0.25">
      <c r="B14" s="66">
        <v>8</v>
      </c>
      <c r="C14" s="67">
        <f>IF(B14&lt;Prisberegner!$E$50+1,Prisberegner!$E$47,IF(Prisberegner!$E$52&gt;0,Prisberegner!$E$55,Prisberegner!$E$47))</f>
        <v>30585.128816585122</v>
      </c>
      <c r="D14" s="142">
        <f>Prisberegner!$E$108+IF(B14&gt;Prisberegner!$E$94,-Prisberegner!$E$95,0)+IF(AND(B14&gt;Prisberegner!$E$100,Prisberegner!$E$104&gt;0),-(Prisberegner!$E$101-Prisberegner!$E$105),0)+IF(AND(Prisberegner!$D$83="Ja",'Tabel resultat'!B14&gt;Prisberegner!$E$84),-Prisberegner!$E$83*12,0)-IF(AND(Prisberegner!$E$100=1,B14&gt;1),Prisberegner!$E$101,0)</f>
        <v>25983.527212212182</v>
      </c>
      <c r="E14" s="67">
        <f>IF(Prisberegner!$E$135="Ja",IF(B14&lt;Prisberegner!$E$150+1,Prisberegner!$E$152,IF(Prisberegner!E$155&gt;0,Prisberegner!E$157,Prisberegner!$E$152)),NA())</f>
        <v>31971.980066323555</v>
      </c>
      <c r="F14" s="67" t="e">
        <f>IF(Prisberegner!$E$161="Ja",IF(B14&lt;Prisberegner!$E$177+1,Prisberegner!$E$179,IF(Prisberegner!E$182&gt;0,Prisberegner!E$184,Prisberegner!$E$179)),NA())</f>
        <v>#N/A</v>
      </c>
      <c r="G14" s="153">
        <f t="shared" si="0"/>
        <v>4601.6016043729396</v>
      </c>
      <c r="I14" s="162" t="s">
        <v>306</v>
      </c>
      <c r="J14" s="163"/>
    </row>
    <row r="15" spans="2:10" x14ac:dyDescent="0.25">
      <c r="B15" s="66">
        <v>9</v>
      </c>
      <c r="C15" s="67">
        <f>IF(B15&lt;Prisberegner!$E$50+1,Prisberegner!$E$47,IF(Prisberegner!$E$52&gt;0,Prisberegner!$E$55,Prisberegner!$E$47))</f>
        <v>30585.128816585122</v>
      </c>
      <c r="D15" s="142">
        <f>Prisberegner!$E$108+IF(B15&gt;Prisberegner!$E$94,-Prisberegner!$E$95,0)+IF(AND(B15&gt;Prisberegner!$E$100,Prisberegner!$E$104&gt;0),-(Prisberegner!$E$101-Prisberegner!$E$105),0)+IF(AND(Prisberegner!$D$83="Ja",'Tabel resultat'!B15&gt;Prisberegner!$E$84),-Prisberegner!$E$83*12,0)-IF(AND(Prisberegner!$E$100=1,B15&gt;1),Prisberegner!$E$101,0)</f>
        <v>25983.527212212182</v>
      </c>
      <c r="E15" s="67">
        <f>IF(Prisberegner!$E$135="Ja",IF(B15&lt;Prisberegner!$E$150+1,Prisberegner!$E$152,IF(Prisberegner!E$155&gt;0,Prisberegner!E$157,Prisberegner!$E$152)),NA())</f>
        <v>31971.980066323555</v>
      </c>
      <c r="F15" s="67" t="e">
        <f>IF(Prisberegner!$E$161="Ja",IF(B15&lt;Prisberegner!$E$177+1,Prisberegner!$E$179,IF(Prisberegner!E$182&gt;0,Prisberegner!E$184,Prisberegner!$E$179)),NA())</f>
        <v>#N/A</v>
      </c>
      <c r="G15" s="153">
        <f t="shared" si="0"/>
        <v>4601.6016043729396</v>
      </c>
      <c r="I15" s="166">
        <f>D7</f>
        <v>25983.527212212182</v>
      </c>
      <c r="J15" s="163" t="s">
        <v>307</v>
      </c>
    </row>
    <row r="16" spans="2:10" x14ac:dyDescent="0.25">
      <c r="B16" s="66">
        <v>10</v>
      </c>
      <c r="C16" s="67">
        <f>IF(B16&lt;Prisberegner!$E$50+1,Prisberegner!$E$47,IF(Prisberegner!$E$52&gt;0,Prisberegner!$E$55,Prisberegner!$E$47))</f>
        <v>30585.128816585122</v>
      </c>
      <c r="D16" s="142">
        <f>Prisberegner!$E$108+IF(B16&gt;Prisberegner!$E$94,-Prisberegner!$E$95,0)+IF(AND(B16&gt;Prisberegner!$E$100,Prisberegner!$E$104&gt;0),-(Prisberegner!$E$101-Prisberegner!$E$105),0)+IF(AND(Prisberegner!$D$83="Ja",'Tabel resultat'!B16&gt;Prisberegner!$E$84),-Prisberegner!$E$83*12,0)-IF(AND(Prisberegner!$E$100=1,B16&gt;1),Prisberegner!$E$101,0)</f>
        <v>25983.527212212182</v>
      </c>
      <c r="E16" s="67">
        <f>IF(Prisberegner!$E$135="Ja",IF(B16&lt;Prisberegner!$E$150+1,Prisberegner!$E$152,IF(Prisberegner!E$155&gt;0,Prisberegner!E$157,Prisberegner!$E$152)),NA())</f>
        <v>31971.980066323555</v>
      </c>
      <c r="F16" s="67" t="e">
        <f>IF(Prisberegner!$E$161="Ja",IF(B16&lt;Prisberegner!$E$177+1,Prisberegner!$E$179,IF(Prisberegner!E$182&gt;0,Prisberegner!E$184,Prisberegner!$E$179)),NA())</f>
        <v>#N/A</v>
      </c>
      <c r="G16" s="153">
        <f t="shared" si="0"/>
        <v>4601.6016043729396</v>
      </c>
      <c r="I16" s="166" cm="1">
        <f t="array" aca="1" ref="I16" ca="1">IF(Prisberegner!$D$83="Nej",,INDIRECT(ADDRESS($J$8+7,4)))</f>
        <v>0</v>
      </c>
      <c r="J16" s="163" t="str">
        <f>IF(Prisberegner!$D$83="Nej","","Efter udløb af tillæg om "&amp;Prisberegner!$E$84&amp;" år")</f>
        <v/>
      </c>
    </row>
    <row r="17" spans="2:10" x14ac:dyDescent="0.25">
      <c r="B17" s="66">
        <v>11</v>
      </c>
      <c r="C17" s="67">
        <f>IF(B17&lt;Prisberegner!$E$50+1,Prisberegner!$E$47,IF(Prisberegner!$E$52&gt;0,Prisberegner!$E$55,Prisberegner!$E$47))</f>
        <v>30585.128816585122</v>
      </c>
      <c r="D17" s="142">
        <f>Prisberegner!$E$108+IF(B17&gt;Prisberegner!$E$94,-Prisberegner!$E$95,0)+IF(AND(B17&gt;Prisberegner!$E$100,Prisberegner!$E$104&gt;0),-(Prisberegner!$E$101-Prisberegner!$E$105),0)+IF(AND(Prisberegner!$D$83="Ja",'Tabel resultat'!B17&gt;Prisberegner!$E$84),-Prisberegner!$E$83*12,0)-IF(AND(Prisberegner!$E$100=1,B17&gt;1),Prisberegner!$E$101,0)</f>
        <v>25983.527212212182</v>
      </c>
      <c r="E17" s="67">
        <f>IF(Prisberegner!$E$135="Ja",IF(B17&lt;Prisberegner!$E$150+1,Prisberegner!$E$152,IF(Prisberegner!E$155&gt;0,Prisberegner!E$157,Prisberegner!$E$152)),NA())</f>
        <v>31971.980066323555</v>
      </c>
      <c r="F17" s="67" t="e">
        <f>IF(Prisberegner!$E$161="Ja",IF(B17&lt;Prisberegner!$E$177+1,Prisberegner!$E$179,IF(Prisberegner!E$182&gt;0,Prisberegner!E$184,Prisberegner!$E$179)),NA())</f>
        <v>#N/A</v>
      </c>
      <c r="G17" s="153">
        <f t="shared" si="0"/>
        <v>4601.6016043729396</v>
      </c>
      <c r="I17" s="166" cm="1">
        <f t="array" aca="1" ref="I17" ca="1">IF(Prisberegner!$E$94=0,,INDIRECT(ADDRESS($J$9+7,4)))</f>
        <v>20132.729030015493</v>
      </c>
      <c r="J17" s="163" t="str">
        <f>IF(Prisberegner!$E$94=0,"","Efter afskrevne tilslutningsbidrag om " &amp;Prisberegner!$E$94&amp;" år")</f>
        <v>Efter afskrevne tilslutningsbidrag om 30 år</v>
      </c>
    </row>
    <row r="18" spans="2:10" x14ac:dyDescent="0.25">
      <c r="B18" s="66">
        <v>12</v>
      </c>
      <c r="C18" s="67">
        <f>IF(B18&lt;Prisberegner!$E$50+1,Prisberegner!$E$47,IF(Prisberegner!$E$52&gt;0,Prisberegner!$E$55,Prisberegner!$E$47))</f>
        <v>30585.128816585122</v>
      </c>
      <c r="D18" s="142">
        <f>Prisberegner!$E$108+IF(B18&gt;Prisberegner!$E$94,-Prisberegner!$E$95,0)+IF(AND(B18&gt;Prisberegner!$E$100,Prisberegner!$E$104&gt;0),-(Prisberegner!$E$101-Prisberegner!$E$105),0)+IF(AND(Prisberegner!$D$83="Ja",'Tabel resultat'!B18&gt;Prisberegner!$E$84),-Prisberegner!$E$83*12,0)-IF(AND(Prisberegner!$E$100=1,B18&gt;1),Prisberegner!$E$101,0)</f>
        <v>25983.527212212182</v>
      </c>
      <c r="E18" s="67">
        <f>IF(Prisberegner!$E$135="Ja",IF(B18&lt;Prisberegner!$E$150+1,Prisberegner!$E$152,IF(Prisberegner!E$155&gt;0,Prisberegner!E$157,Prisberegner!$E$152)),NA())</f>
        <v>31971.980066323555</v>
      </c>
      <c r="F18" s="67" t="e">
        <f>IF(Prisberegner!$E$161="Ja",IF(B18&lt;Prisberegner!$E$177+1,Prisberegner!$E$179,IF(Prisberegner!E$182&gt;0,Prisberegner!E$184,Prisberegner!$E$179)),NA())</f>
        <v>#N/A</v>
      </c>
      <c r="G18" s="153">
        <f t="shared" si="0"/>
        <v>4601.6016043729396</v>
      </c>
      <c r="I18" s="166" cm="1">
        <f t="array" aca="1" ref="I18" ca="1">IF(Prisberegner!$E$100=0,,INDIRECT(ADDRESS($J$10+7,4)))</f>
        <v>20132.729030015493</v>
      </c>
      <c r="J18" s="163" t="str">
        <f>IF(Prisberegner!$E$100=0,"","Efter levetidsforlængelse eller ny unit om "&amp;Prisberegner!$E$100&amp;" år")</f>
        <v>Efter levetidsforlængelse eller ny unit om 30 år</v>
      </c>
    </row>
    <row r="19" spans="2:10" x14ac:dyDescent="0.25">
      <c r="B19" s="66">
        <v>13</v>
      </c>
      <c r="C19" s="67">
        <f>IF(B19&lt;Prisberegner!$E$50+1,Prisberegner!$E$47,IF(Prisberegner!$E$52&gt;0,Prisberegner!$E$55,Prisberegner!$E$47))</f>
        <v>30585.128816585122</v>
      </c>
      <c r="D19" s="142">
        <f>Prisberegner!$E$108+IF(B19&gt;Prisberegner!$E$94,-Prisberegner!$E$95,0)+IF(AND(B19&gt;Prisberegner!$E$100,Prisberegner!$E$104&gt;0),-(Prisberegner!$E$101-Prisberegner!$E$105),0)+IF(AND(Prisberegner!$D$83="Ja",'Tabel resultat'!B19&gt;Prisberegner!$E$84),-Prisberegner!$E$83*12,0)-IF(AND(Prisberegner!$E$100=1,B19&gt;1),Prisberegner!$E$101,0)</f>
        <v>25983.527212212182</v>
      </c>
      <c r="E19" s="67">
        <f>IF(Prisberegner!$E$135="Ja",IF(B19&lt;Prisberegner!$E$150+1,Prisberegner!$E$152,IF(Prisberegner!E$155&gt;0,Prisberegner!E$157,Prisberegner!$E$152)),NA())</f>
        <v>31971.980066323555</v>
      </c>
      <c r="F19" s="67" t="e">
        <f>IF(Prisberegner!$E$161="Ja",IF(B19&lt;Prisberegner!$E$177+1,Prisberegner!$E$179,IF(Prisberegner!E$182&gt;0,Prisberegner!E$184,Prisberegner!$E$179)),NA())</f>
        <v>#N/A</v>
      </c>
      <c r="G19" s="153">
        <f t="shared" si="0"/>
        <v>4601.6016043729396</v>
      </c>
      <c r="I19" s="162"/>
      <c r="J19" s="163"/>
    </row>
    <row r="20" spans="2:10" x14ac:dyDescent="0.25">
      <c r="B20" s="66">
        <v>14</v>
      </c>
      <c r="C20" s="67">
        <f>IF(B20&lt;Prisberegner!$E$50+1,Prisberegner!$E$47,IF(Prisberegner!$E$52&gt;0,Prisberegner!$E$55,Prisberegner!$E$47))</f>
        <v>30585.128816585122</v>
      </c>
      <c r="D20" s="142">
        <f>Prisberegner!$E$108+IF(B20&gt;Prisberegner!$E$94,-Prisberegner!$E$95,0)+IF(AND(B20&gt;Prisberegner!$E$100,Prisberegner!$E$104&gt;0),-(Prisberegner!$E$101-Prisberegner!$E$105),0)+IF(AND(Prisberegner!$D$83="Ja",'Tabel resultat'!B20&gt;Prisberegner!$E$84),-Prisberegner!$E$83*12,0)-IF(AND(Prisberegner!$E$100=1,B20&gt;1),Prisberegner!$E$101,0)</f>
        <v>25983.527212212182</v>
      </c>
      <c r="E20" s="67">
        <f>IF(Prisberegner!$E$135="Ja",IF(B20&lt;Prisberegner!$E$150+1,Prisberegner!$E$152,IF(Prisberegner!E$155&gt;0,Prisberegner!E$157,Prisberegner!$E$152)),NA())</f>
        <v>31971.980066323555</v>
      </c>
      <c r="F20" s="67" t="e">
        <f>IF(Prisberegner!$E$161="Ja",IF(B20&lt;Prisberegner!$E$177+1,Prisberegner!$E$179,IF(Prisberegner!E$182&gt;0,Prisberegner!E$184,Prisberegner!$E$179)),NA())</f>
        <v>#N/A</v>
      </c>
      <c r="G20" s="153">
        <f t="shared" si="0"/>
        <v>4601.6016043729396</v>
      </c>
      <c r="I20" s="167">
        <f>I15</f>
        <v>25983.527212212182</v>
      </c>
      <c r="J20" s="168" t="str">
        <f>J15</f>
        <v>Ved tilslutning (år 1)</v>
      </c>
    </row>
    <row r="21" spans="2:10" x14ac:dyDescent="0.25">
      <c r="B21" s="66">
        <v>15</v>
      </c>
      <c r="C21" s="67">
        <f>IF(B21&lt;Prisberegner!$E$50+1,Prisberegner!$E$47,IF(Prisberegner!$E$52&gt;0,Prisberegner!$E$55,Prisberegner!$E$47))</f>
        <v>30585.128816585122</v>
      </c>
      <c r="D21" s="142">
        <f>Prisberegner!$E$108+IF(B21&gt;Prisberegner!$E$94,-Prisberegner!$E$95,0)+IF(AND(B21&gt;Prisberegner!$E$100,Prisberegner!$E$104&gt;0),-(Prisberegner!$E$101-Prisberegner!$E$105),0)+IF(AND(Prisberegner!$D$83="Ja",'Tabel resultat'!B21&gt;Prisberegner!$E$84),-Prisberegner!$E$83*12,0)-IF(AND(Prisberegner!$E$100=1,B21&gt;1),Prisberegner!$E$101,0)</f>
        <v>25983.527212212182</v>
      </c>
      <c r="E21" s="67">
        <f>IF(Prisberegner!$E$135="Ja",IF(B21&lt;Prisberegner!$E$150+1,Prisberegner!$E$152,IF(Prisberegner!E$155&gt;0,Prisberegner!E$157,Prisberegner!$E$152)),NA())</f>
        <v>31971.980066323555</v>
      </c>
      <c r="F21" s="67" t="e">
        <f>IF(Prisberegner!$E$161="Ja",IF(B21&lt;Prisberegner!$E$177+1,Prisberegner!$E$179,IF(Prisberegner!E$182&gt;0,Prisberegner!E$184,Prisberegner!$E$179)),NA())</f>
        <v>#N/A</v>
      </c>
      <c r="G21" s="153">
        <f t="shared" si="0"/>
        <v>4601.6016043729396</v>
      </c>
      <c r="I21" s="167" cm="1">
        <f t="array" aca="1" ref="I21:J23" ca="1">_xlfn._xlws.SORT(I16:J18,1,-1)</f>
        <v>20132.729030015493</v>
      </c>
      <c r="J21" s="168" t="str">
        <f ca="1"/>
        <v>Efter afskrevne tilslutningsbidrag om 30 år</v>
      </c>
    </row>
    <row r="22" spans="2:10" x14ac:dyDescent="0.25">
      <c r="B22" s="66">
        <v>16</v>
      </c>
      <c r="C22" s="67">
        <f>IF(B22&lt;Prisberegner!$E$50+1,Prisberegner!$E$47,IF(Prisberegner!$E$52&gt;0,Prisberegner!$E$55,Prisberegner!$E$47))</f>
        <v>30585.128816585122</v>
      </c>
      <c r="D22" s="142">
        <f>Prisberegner!$E$108+IF(B22&gt;Prisberegner!$E$94,-Prisberegner!$E$95,0)+IF(AND(B22&gt;Prisberegner!$E$100,Prisberegner!$E$104&gt;0),-(Prisberegner!$E$101-Prisberegner!$E$105),0)+IF(AND(Prisberegner!$D$83="Ja",'Tabel resultat'!B22&gt;Prisberegner!$E$84),-Prisberegner!$E$83*12,0)-IF(AND(Prisberegner!$E$100=1,B22&gt;1),Prisberegner!$E$101,0)</f>
        <v>25983.527212212182</v>
      </c>
      <c r="E22" s="67">
        <f>IF(Prisberegner!$E$135="Ja",IF(B22&lt;Prisberegner!$E$150+1,Prisberegner!$E$152,IF(Prisberegner!E$155&gt;0,Prisberegner!E$157,Prisberegner!$E$152)),NA())</f>
        <v>31971.980066323555</v>
      </c>
      <c r="F22" s="67" t="e">
        <f>IF(Prisberegner!$E$161="Ja",IF(B22&lt;Prisberegner!$E$177+1,Prisberegner!$E$179,IF(Prisberegner!E$182&gt;0,Prisberegner!E$184,Prisberegner!$E$179)),NA())</f>
        <v>#N/A</v>
      </c>
      <c r="G22" s="153">
        <f t="shared" si="0"/>
        <v>4601.6016043729396</v>
      </c>
      <c r="I22" s="167">
        <f ca="1"/>
        <v>20132.729030015493</v>
      </c>
      <c r="J22" s="168" t="str">
        <f ca="1"/>
        <v>Efter levetidsforlængelse eller ny unit om 30 år</v>
      </c>
    </row>
    <row r="23" spans="2:10" x14ac:dyDescent="0.25">
      <c r="B23" s="66">
        <v>17</v>
      </c>
      <c r="C23" s="67">
        <f>IF(B23&lt;Prisberegner!$E$50+1,Prisberegner!$E$47,IF(Prisberegner!$E$52&gt;0,Prisberegner!$E$55,Prisberegner!$E$47))</f>
        <v>30585.128816585122</v>
      </c>
      <c r="D23" s="142">
        <f>Prisberegner!$E$108+IF(B23&gt;Prisberegner!$E$94,-Prisberegner!$E$95,0)+IF(AND(B23&gt;Prisberegner!$E$100,Prisberegner!$E$104&gt;0),-(Prisberegner!$E$101-Prisberegner!$E$105),0)+IF(AND(Prisberegner!$D$83="Ja",'Tabel resultat'!B23&gt;Prisberegner!$E$84),-Prisberegner!$E$83*12,0)-IF(AND(Prisberegner!$E$100=1,B23&gt;1),Prisberegner!$E$101,0)</f>
        <v>25983.527212212182</v>
      </c>
      <c r="E23" s="67">
        <f>IF(Prisberegner!$E$135="Ja",IF(B23&lt;Prisberegner!$E$150+1,Prisberegner!$E$152,IF(Prisberegner!E$155&gt;0,Prisberegner!E$157,Prisberegner!$E$152)),NA())</f>
        <v>31971.980066323555</v>
      </c>
      <c r="F23" s="67" t="e">
        <f>IF(Prisberegner!$E$161="Ja",IF(B23&lt;Prisberegner!$E$177+1,Prisberegner!$E$179,IF(Prisberegner!E$182&gt;0,Prisberegner!E$184,Prisberegner!$E$179)),NA())</f>
        <v>#N/A</v>
      </c>
      <c r="G23" s="153">
        <f t="shared" si="0"/>
        <v>4601.6016043729396</v>
      </c>
      <c r="I23" s="167">
        <f ca="1"/>
        <v>0</v>
      </c>
      <c r="J23" s="168" t="str">
        <f ca="1"/>
        <v/>
      </c>
    </row>
    <row r="24" spans="2:10" x14ac:dyDescent="0.25">
      <c r="B24" s="66">
        <v>18</v>
      </c>
      <c r="C24" s="67">
        <f>IF(B24&lt;Prisberegner!$E$50+1,Prisberegner!$E$47,IF(Prisberegner!$E$52&gt;0,Prisberegner!$E$55,Prisberegner!$E$47))</f>
        <v>30585.128816585122</v>
      </c>
      <c r="D24" s="142">
        <f>Prisberegner!$E$108+IF(B24&gt;Prisberegner!$E$94,-Prisberegner!$E$95,0)+IF(AND(B24&gt;Prisberegner!$E$100,Prisberegner!$E$104&gt;0),-(Prisberegner!$E$101-Prisberegner!$E$105),0)+IF(AND(Prisberegner!$D$83="Ja",'Tabel resultat'!B24&gt;Prisberegner!$E$84),-Prisberegner!$E$83*12,0)-IF(AND(Prisberegner!$E$100=1,B24&gt;1),Prisberegner!$E$101,0)</f>
        <v>25983.527212212182</v>
      </c>
      <c r="E24" s="67">
        <f>IF(Prisberegner!$E$135="Ja",IF(B24&lt;Prisberegner!$E$150+1,Prisberegner!$E$152,IF(Prisberegner!E$155&gt;0,Prisberegner!E$157,Prisberegner!$E$152)),NA())</f>
        <v>31971.980066323555</v>
      </c>
      <c r="F24" s="67" t="e">
        <f>IF(Prisberegner!$E$161="Ja",IF(B24&lt;Prisberegner!$E$177+1,Prisberegner!$E$179,IF(Prisberegner!E$182&gt;0,Prisberegner!E$184,Prisberegner!$E$179)),NA())</f>
        <v>#N/A</v>
      </c>
      <c r="G24" s="153">
        <f t="shared" si="0"/>
        <v>4601.6016043729396</v>
      </c>
      <c r="I24" s="167"/>
      <c r="J24" s="169"/>
    </row>
    <row r="25" spans="2:10" x14ac:dyDescent="0.25">
      <c r="B25" s="66">
        <v>19</v>
      </c>
      <c r="C25" s="67">
        <f>IF(B25&lt;Prisberegner!$E$50+1,Prisberegner!$E$47,IF(Prisberegner!$E$52&gt;0,Prisberegner!$E$55,Prisberegner!$E$47))</f>
        <v>30585.128816585122</v>
      </c>
      <c r="D25" s="142">
        <f>Prisberegner!$E$108+IF(B25&gt;Prisberegner!$E$94,-Prisberegner!$E$95,0)+IF(AND(B25&gt;Prisberegner!$E$100,Prisberegner!$E$104&gt;0),-(Prisberegner!$E$101-Prisberegner!$E$105),0)+IF(AND(Prisberegner!$D$83="Ja",'Tabel resultat'!B25&gt;Prisberegner!$E$84),-Prisberegner!$E$83*12,0)-IF(AND(Prisberegner!$E$100=1,B25&gt;1),Prisberegner!$E$101,0)</f>
        <v>25983.527212212182</v>
      </c>
      <c r="E25" s="67">
        <f>IF(Prisberegner!$E$135="Ja",IF(B25&lt;Prisberegner!$E$150+1,Prisberegner!$E$152,IF(Prisberegner!E$155&gt;0,Prisberegner!E$157,Prisberegner!$E$152)),NA())</f>
        <v>31971.980066323555</v>
      </c>
      <c r="F25" s="67" t="e">
        <f>IF(Prisberegner!$E$161="Ja",IF(B25&lt;Prisberegner!$E$177+1,Prisberegner!$E$179,IF(Prisberegner!E$182&gt;0,Prisberegner!E$184,Prisberegner!$E$179)),NA())</f>
        <v>#N/A</v>
      </c>
      <c r="G25" s="153">
        <f t="shared" si="0"/>
        <v>4601.6016043729396</v>
      </c>
      <c r="I25" s="162"/>
      <c r="J25" s="163"/>
    </row>
    <row r="26" spans="2:10" x14ac:dyDescent="0.25">
      <c r="B26" s="66">
        <v>20</v>
      </c>
      <c r="C26" s="67">
        <f>IF(B26&lt;Prisberegner!$E$50+1,Prisberegner!$E$47,IF(Prisberegner!$E$52&gt;0,Prisberegner!$E$55,Prisberegner!$E$47))</f>
        <v>30585.128816585122</v>
      </c>
      <c r="D26" s="142">
        <f>Prisberegner!$E$108+IF(B26&gt;Prisberegner!$E$94,-Prisberegner!$E$95,0)+IF(AND(B26&gt;Prisberegner!$E$100,Prisberegner!$E$104&gt;0),-(Prisberegner!$E$101-Prisberegner!$E$105),0)+IF(AND(Prisberegner!$D$83="Ja",'Tabel resultat'!B26&gt;Prisberegner!$E$84),-Prisberegner!$E$83*12,0)-IF(AND(Prisberegner!$E$100=1,B26&gt;1),Prisberegner!$E$101,0)</f>
        <v>25983.527212212182</v>
      </c>
      <c r="E26" s="67">
        <f>IF(Prisberegner!$E$135="Ja",IF(B26&lt;Prisberegner!$E$150+1,Prisberegner!$E$152,IF(Prisberegner!E$155&gt;0,Prisberegner!E$157,Prisberegner!$E$152)),NA())</f>
        <v>31971.980066323555</v>
      </c>
      <c r="F26" s="67" t="e">
        <f>IF(Prisberegner!$E$161="Ja",IF(B26&lt;Prisberegner!$E$177+1,Prisberegner!$E$179,IF(Prisberegner!E$182&gt;0,Prisberegner!E$184,Prisberegner!$E$179)),NA())</f>
        <v>#N/A</v>
      </c>
      <c r="G26" s="153">
        <f t="shared" si="0"/>
        <v>4601.6016043729396</v>
      </c>
      <c r="I26" s="162"/>
      <c r="J26" s="163"/>
    </row>
    <row r="27" spans="2:10" x14ac:dyDescent="0.25">
      <c r="B27" s="66">
        <v>21</v>
      </c>
      <c r="C27" s="67">
        <f>IF(B27&lt;Prisberegner!$E$50+1,Prisberegner!$E$47,IF(Prisberegner!$E$52&gt;0,Prisberegner!$E$55,Prisberegner!$E$47))</f>
        <v>30585.128816585122</v>
      </c>
      <c r="D27" s="142">
        <f>Prisberegner!$E$108+IF(B27&gt;Prisberegner!$E$94,-Prisberegner!$E$95,0)+IF(AND(B27&gt;Prisberegner!$E$100,Prisberegner!$E$104&gt;0),-(Prisberegner!$E$101-Prisberegner!$E$105),0)+IF(AND(Prisberegner!$D$83="Ja",'Tabel resultat'!B27&gt;Prisberegner!$E$84),-Prisberegner!$E$83*12,0)-IF(AND(Prisberegner!$E$100=1,B27&gt;1),Prisberegner!$E$101,0)</f>
        <v>25983.527212212182</v>
      </c>
      <c r="E27" s="67">
        <f>IF(Prisberegner!$E$135="Ja",IF(B27&lt;Prisberegner!$E$150+1,Prisberegner!$E$152,IF(Prisberegner!E$155&gt;0,Prisberegner!E$157,Prisberegner!$E$152)),NA())</f>
        <v>31971.980066323555</v>
      </c>
      <c r="F27" s="67" t="e">
        <f>IF(Prisberegner!$E$161="Ja",IF(B27&lt;Prisberegner!$E$177+1,Prisberegner!$E$179,IF(Prisberegner!E$182&gt;0,Prisberegner!E$184,Prisberegner!$E$179)),NA())</f>
        <v>#N/A</v>
      </c>
      <c r="G27" s="153">
        <f t="shared" si="0"/>
        <v>4601.6016043729396</v>
      </c>
      <c r="I27" s="162" t="s">
        <v>308</v>
      </c>
      <c r="J27" s="163"/>
    </row>
    <row r="28" spans="2:10" x14ac:dyDescent="0.25">
      <c r="B28" s="66">
        <v>22</v>
      </c>
      <c r="C28" s="67">
        <f>IF(B28&lt;Prisberegner!$E$50+1,Prisberegner!$E$47,IF(Prisberegner!$E$52&gt;0,Prisberegner!$E$55,Prisberegner!$E$47))</f>
        <v>30585.128816585122</v>
      </c>
      <c r="D28" s="142">
        <f>Prisberegner!$E$108+IF(B28&gt;Prisberegner!$E$94,-Prisberegner!$E$95,0)+IF(AND(B28&gt;Prisberegner!$E$100,Prisberegner!$E$104&gt;0),-(Prisberegner!$E$101-Prisberegner!$E$105),0)+IF(AND(Prisberegner!$D$83="Ja",'Tabel resultat'!B28&gt;Prisberegner!$E$84),-Prisberegner!$E$83*12,0)-IF(AND(Prisberegner!$E$100=1,B28&gt;1),Prisberegner!$E$101,0)</f>
        <v>25983.527212212182</v>
      </c>
      <c r="E28" s="67">
        <f>IF(Prisberegner!$E$135="Ja",IF(B28&lt;Prisberegner!$E$150+1,Prisberegner!$E$152,IF(Prisberegner!E$155&gt;0,Prisberegner!E$157,Prisberegner!$E$152)),NA())</f>
        <v>31971.980066323555</v>
      </c>
      <c r="F28" s="67" t="e">
        <f>IF(Prisberegner!$E$161="Ja",IF(B28&lt;Prisberegner!$E$177+1,Prisberegner!$E$179,IF(Prisberegner!E$182&gt;0,Prisberegner!E$184,Prisberegner!$E$179)),NA())</f>
        <v>#N/A</v>
      </c>
      <c r="G28" s="153">
        <f t="shared" si="0"/>
        <v>4601.6016043729396</v>
      </c>
      <c r="I28" s="166">
        <f>C7-D7</f>
        <v>1793.1110526987432</v>
      </c>
      <c r="J28" s="163" t="s">
        <v>307</v>
      </c>
    </row>
    <row r="29" spans="2:10" x14ac:dyDescent="0.25">
      <c r="B29" s="66">
        <v>23</v>
      </c>
      <c r="C29" s="67">
        <f>IF(B29&lt;Prisberegner!$E$50+1,Prisberegner!$E$47,IF(Prisberegner!$E$52&gt;0,Prisberegner!$E$55,Prisberegner!$E$47))</f>
        <v>30585.128816585122</v>
      </c>
      <c r="D29" s="142">
        <f>Prisberegner!$E$108+IF(B29&gt;Prisberegner!$E$94,-Prisberegner!$E$95,0)+IF(AND(B29&gt;Prisberegner!$E$100,Prisberegner!$E$104&gt;0),-(Prisberegner!$E$101-Prisberegner!$E$105),0)+IF(AND(Prisberegner!$D$83="Ja",'Tabel resultat'!B29&gt;Prisberegner!$E$84),-Prisberegner!$E$83*12,0)-IF(AND(Prisberegner!$E$100=1,B29&gt;1),Prisberegner!$E$101,0)</f>
        <v>25983.527212212182</v>
      </c>
      <c r="E29" s="67">
        <f>IF(Prisberegner!$E$135="Ja",IF(B29&lt;Prisberegner!$E$150+1,Prisberegner!$E$152,IF(Prisberegner!E$155&gt;0,Prisberegner!E$157,Prisberegner!$E$152)),NA())</f>
        <v>31971.980066323555</v>
      </c>
      <c r="F29" s="67" t="e">
        <f>IF(Prisberegner!$E$161="Ja",IF(B29&lt;Prisberegner!$E$177+1,Prisberegner!$E$179,IF(Prisberegner!E$182&gt;0,Prisberegner!E$184,Prisberegner!$E$179)),NA())</f>
        <v>#N/A</v>
      </c>
      <c r="G29" s="153">
        <f t="shared" si="0"/>
        <v>4601.6016043729396</v>
      </c>
      <c r="I29" s="166" cm="1">
        <f t="array" aca="1" ref="I29" ca="1">INDIRECT(ADDRESS($J$11+7,3))-INDIRECT(ADDRESS($J$11+7,4))</f>
        <v>4601.6016043729396</v>
      </c>
      <c r="J29" s="163" t="str">
        <f>"Efter investering i ny gaskedel om "&amp;Prisberegner!$E$50&amp;" år"</f>
        <v>Efter investering i ny gaskedel om 2 år</v>
      </c>
    </row>
    <row r="30" spans="2:10" x14ac:dyDescent="0.25">
      <c r="B30" s="66">
        <v>24</v>
      </c>
      <c r="C30" s="67">
        <f>IF(B30&lt;Prisberegner!$E$50+1,Prisberegner!$E$47,IF(Prisberegner!$E$52&gt;0,Prisberegner!$E$55,Prisberegner!$E$47))</f>
        <v>30585.128816585122</v>
      </c>
      <c r="D30" s="142">
        <f>Prisberegner!$E$108+IF(B30&gt;Prisberegner!$E$94,-Prisberegner!$E$95,0)+IF(AND(B30&gt;Prisberegner!$E$100,Prisberegner!$E$104&gt;0),-(Prisberegner!$E$101-Prisberegner!$E$105),0)+IF(AND(Prisberegner!$D$83="Ja",'Tabel resultat'!B30&gt;Prisberegner!$E$84),-Prisberegner!$E$83*12,0)-IF(AND(Prisberegner!$E$100=1,B30&gt;1),Prisberegner!$E$101,0)</f>
        <v>25983.527212212182</v>
      </c>
      <c r="E30" s="67">
        <f>IF(Prisberegner!$E$135="Ja",IF(B30&lt;Prisberegner!$E$150+1,Prisberegner!$E$152,IF(Prisberegner!E$155&gt;0,Prisberegner!E$157,Prisberegner!$E$152)),NA())</f>
        <v>31971.980066323555</v>
      </c>
      <c r="F30" s="67" t="e">
        <f>IF(Prisberegner!$E$161="Ja",IF(B30&lt;Prisberegner!$E$177+1,Prisberegner!$E$179,IF(Prisberegner!E$182&gt;0,Prisberegner!E$184,Prisberegner!$E$179)),NA())</f>
        <v>#N/A</v>
      </c>
      <c r="G30" s="153">
        <f t="shared" si="0"/>
        <v>4601.6016043729396</v>
      </c>
      <c r="I30" s="166" t="str" cm="1">
        <f t="array" aca="1" ref="I30" ca="1">IF(Prisberegner!$D$83="Nej","",INDIRECT(ADDRESS($J$8+7,3))-INDIRECT(ADDRESS($J$8+7,4)))</f>
        <v/>
      </c>
      <c r="J30" s="163" t="str">
        <f>IF(Prisberegner!$D$83="Nej","","Efter udløb af tillæg om "&amp;Prisberegner!$E$84&amp;" år")</f>
        <v/>
      </c>
    </row>
    <row r="31" spans="2:10" x14ac:dyDescent="0.25">
      <c r="B31" s="66">
        <v>25</v>
      </c>
      <c r="C31" s="67">
        <f>IF(B31&lt;Prisberegner!$E$50+1,Prisberegner!$E$47,IF(Prisberegner!$E$52&gt;0,Prisberegner!$E$55,Prisberegner!$E$47))</f>
        <v>30585.128816585122</v>
      </c>
      <c r="D31" s="142">
        <f>Prisberegner!$E$108+IF(B31&gt;Prisberegner!$E$94,-Prisberegner!$E$95,0)+IF(AND(B31&gt;Prisberegner!$E$100,Prisberegner!$E$104&gt;0),-(Prisberegner!$E$101-Prisberegner!$E$105),0)+IF(AND(Prisberegner!$D$83="Ja",'Tabel resultat'!B31&gt;Prisberegner!$E$84),-Prisberegner!$E$83*12,0)-IF(AND(Prisberegner!$E$100=1,B31&gt;1),Prisberegner!$E$101,0)</f>
        <v>25983.527212212182</v>
      </c>
      <c r="E31" s="67">
        <f>IF(Prisberegner!$E$135="Ja",IF(B31&lt;Prisberegner!$E$150+1,Prisberegner!$E$152,IF(Prisberegner!E$155&gt;0,Prisberegner!E$157,Prisberegner!$E$152)),NA())</f>
        <v>31971.980066323555</v>
      </c>
      <c r="F31" s="67" t="e">
        <f>IF(Prisberegner!$E$161="Ja",IF(B31&lt;Prisberegner!$E$177+1,Prisberegner!$E$179,IF(Prisberegner!E$182&gt;0,Prisberegner!E$184,Prisberegner!$E$179)),NA())</f>
        <v>#N/A</v>
      </c>
      <c r="G31" s="153">
        <f t="shared" si="0"/>
        <v>4601.6016043729396</v>
      </c>
      <c r="I31" s="166" cm="1">
        <f t="array" aca="1" ref="I31" ca="1">IF(Prisberegner!$E$94=0,"",INDIRECT(ADDRESS($J$9+7,3))-INDIRECT(ADDRESS($J$9+7,4)))</f>
        <v>10452.399786569629</v>
      </c>
      <c r="J31" s="163" t="str">
        <f>IF(Prisberegner!$E$94=0,"","Efter afskrevne tilslutningsbidrag om " &amp;Prisberegner!$E$94&amp;" år")</f>
        <v>Efter afskrevne tilslutningsbidrag om 30 år</v>
      </c>
    </row>
    <row r="32" spans="2:10" x14ac:dyDescent="0.25">
      <c r="B32" s="66">
        <v>26</v>
      </c>
      <c r="C32" s="67">
        <f>IF(B32&lt;Prisberegner!$E$50+1,Prisberegner!$E$47,IF(Prisberegner!$E$52&gt;0,Prisberegner!$E$55,Prisberegner!$E$47))</f>
        <v>30585.128816585122</v>
      </c>
      <c r="D32" s="142">
        <f>Prisberegner!$E$108+IF(B32&gt;Prisberegner!$E$94,-Prisberegner!$E$95,0)+IF(AND(B32&gt;Prisberegner!$E$100,Prisberegner!$E$104&gt;0),-(Prisberegner!$E$101-Prisberegner!$E$105),0)+IF(AND(Prisberegner!$D$83="Ja",'Tabel resultat'!B32&gt;Prisberegner!$E$84),-Prisberegner!$E$83*12,0)-IF(AND(Prisberegner!$E$100=1,B32&gt;1),Prisberegner!$E$101,0)</f>
        <v>25983.527212212182</v>
      </c>
      <c r="E32" s="67">
        <f>IF(Prisberegner!$E$135="Ja",IF(B32&lt;Prisberegner!$E$150+1,Prisberegner!$E$152,IF(Prisberegner!E$155&gt;0,Prisberegner!E$157,Prisberegner!$E$152)),NA())</f>
        <v>31971.980066323555</v>
      </c>
      <c r="F32" s="67" t="e">
        <f>IF(Prisberegner!$E$161="Ja",IF(B32&lt;Prisberegner!$E$177+1,Prisberegner!$E$179,IF(Prisberegner!E$182&gt;0,Prisberegner!E$184,Prisberegner!$E$179)),NA())</f>
        <v>#N/A</v>
      </c>
      <c r="G32" s="153">
        <f t="shared" si="0"/>
        <v>4601.6016043729396</v>
      </c>
      <c r="I32" s="166" cm="1">
        <f t="array" aca="1" ref="I32" ca="1">IF(Prisberegner!$E$100=0,"",INDIRECT(ADDRESS($J$10+7,3))-INDIRECT(ADDRESS($J$10+7,4)))</f>
        <v>10452.399786569629</v>
      </c>
      <c r="J32" s="163" t="str">
        <f>IF(Prisberegner!$E$100=0,"","Efter levetidsforlængelse eller ny unit om "&amp;Prisberegner!$E$100&amp;" år")</f>
        <v>Efter levetidsforlængelse eller ny unit om 30 år</v>
      </c>
    </row>
    <row r="33" spans="2:10" x14ac:dyDescent="0.25">
      <c r="B33" s="66">
        <v>27</v>
      </c>
      <c r="C33" s="67">
        <f>IF(B33&lt;Prisberegner!$E$50+1,Prisberegner!$E$47,IF(Prisberegner!$E$52&gt;0,Prisberegner!$E$55,Prisberegner!$E$47))</f>
        <v>30585.128816585122</v>
      </c>
      <c r="D33" s="142">
        <f>Prisberegner!$E$108+IF(B33&gt;Prisberegner!$E$94,-Prisberegner!$E$95,0)+IF(AND(B33&gt;Prisberegner!$E$100,Prisberegner!$E$104&gt;0),-(Prisberegner!$E$101-Prisberegner!$E$105),0)+IF(AND(Prisberegner!$D$83="Ja",'Tabel resultat'!B33&gt;Prisberegner!$E$84),-Prisberegner!$E$83*12,0)-IF(AND(Prisberegner!$E$100=1,B33&gt;1),Prisberegner!$E$101,0)</f>
        <v>25983.527212212182</v>
      </c>
      <c r="E33" s="67">
        <f>IF(Prisberegner!$E$135="Ja",IF(B33&lt;Prisberegner!$E$150+1,Prisberegner!$E$152,IF(Prisberegner!E$155&gt;0,Prisberegner!E$157,Prisberegner!$E$152)),NA())</f>
        <v>31971.980066323555</v>
      </c>
      <c r="F33" s="67" t="e">
        <f>IF(Prisberegner!$E$161="Ja",IF(B33&lt;Prisberegner!$E$177+1,Prisberegner!$E$179,IF(Prisberegner!E$182&gt;0,Prisberegner!E$184,Prisberegner!$E$179)),NA())</f>
        <v>#N/A</v>
      </c>
      <c r="G33" s="153">
        <f t="shared" si="0"/>
        <v>4601.6016043729396</v>
      </c>
      <c r="I33" s="162"/>
      <c r="J33" s="163"/>
    </row>
    <row r="34" spans="2:10" x14ac:dyDescent="0.25">
      <c r="B34" s="66">
        <v>28</v>
      </c>
      <c r="C34" s="67">
        <f>IF(B34&lt;Prisberegner!$E$50+1,Prisberegner!$E$47,IF(Prisberegner!$E$52&gt;0,Prisberegner!$E$55,Prisberegner!$E$47))</f>
        <v>30585.128816585122</v>
      </c>
      <c r="D34" s="142">
        <f>Prisberegner!$E$108+IF(B34&gt;Prisberegner!$E$94,-Prisberegner!$E$95,0)+IF(AND(B34&gt;Prisberegner!$E$100,Prisberegner!$E$104&gt;0),-(Prisberegner!$E$101-Prisberegner!$E$105),0)+IF(AND(Prisberegner!$D$83="Ja",'Tabel resultat'!B34&gt;Prisberegner!$E$84),-Prisberegner!$E$83*12,0)-IF(AND(Prisberegner!$E$100=1,B34&gt;1),Prisberegner!$E$101,0)</f>
        <v>25983.527212212182</v>
      </c>
      <c r="E34" s="67">
        <f>IF(Prisberegner!$E$135="Ja",IF(B34&lt;Prisberegner!$E$150+1,Prisberegner!$E$152,IF(Prisberegner!E$155&gt;0,Prisberegner!E$157,Prisberegner!$E$152)),NA())</f>
        <v>31971.980066323555</v>
      </c>
      <c r="F34" s="67" t="e">
        <f>IF(Prisberegner!$E$161="Ja",IF(B34&lt;Prisberegner!$E$177+1,Prisberegner!$E$179,IF(Prisberegner!E$182&gt;0,Prisberegner!E$184,Prisberegner!$E$179)),NA())</f>
        <v>#N/A</v>
      </c>
      <c r="G34" s="153">
        <f t="shared" si="0"/>
        <v>4601.6016043729396</v>
      </c>
      <c r="I34" s="167">
        <f>I28</f>
        <v>1793.1110526987432</v>
      </c>
      <c r="J34" s="168" t="str">
        <f>J28</f>
        <v>Ved tilslutning (år 1)</v>
      </c>
    </row>
    <row r="35" spans="2:10" x14ac:dyDescent="0.25">
      <c r="B35" s="66">
        <v>29</v>
      </c>
      <c r="C35" s="67">
        <f>IF(B35&lt;Prisberegner!$E$50+1,Prisberegner!$E$47,IF(Prisberegner!$E$52&gt;0,Prisberegner!$E$55,Prisberegner!$E$47))</f>
        <v>30585.128816585122</v>
      </c>
      <c r="D35" s="142">
        <f>Prisberegner!$E$108+IF(B35&gt;Prisberegner!$E$94,-Prisberegner!$E$95,0)+IF(AND(B35&gt;Prisberegner!$E$100,Prisberegner!$E$104&gt;0),-(Prisberegner!$E$101-Prisberegner!$E$105),0)+IF(AND(Prisberegner!$D$83="Ja",'Tabel resultat'!B35&gt;Prisberegner!$E$84),-Prisberegner!$E$83*12,0)-IF(AND(Prisberegner!$E$100=1,B35&gt;1),Prisberegner!$E$101,0)</f>
        <v>25983.527212212182</v>
      </c>
      <c r="E35" s="67">
        <f>IF(Prisberegner!$E$135="Ja",IF(B35&lt;Prisberegner!$E$150+1,Prisberegner!$E$152,IF(Prisberegner!E$155&gt;0,Prisberegner!E$157,Prisberegner!$E$152)),NA())</f>
        <v>31971.980066323555</v>
      </c>
      <c r="F35" s="67" t="e">
        <f>IF(Prisberegner!$E$161="Ja",IF(B35&lt;Prisberegner!$E$177+1,Prisberegner!$E$179,IF(Prisberegner!E$182&gt;0,Prisberegner!E$184,Prisberegner!$E$179)),NA())</f>
        <v>#N/A</v>
      </c>
      <c r="G35" s="153">
        <f t="shared" si="0"/>
        <v>4601.6016043729396</v>
      </c>
      <c r="I35" s="167" cm="1">
        <f t="array" aca="1" ref="I35:J38" ca="1">_xlfn._xlws.SORT(I29:J32,1,1)</f>
        <v>4601.6016043729396</v>
      </c>
      <c r="J35" s="168" t="str">
        <f ca="1"/>
        <v>Efter investering i ny gaskedel om 2 år</v>
      </c>
    </row>
    <row r="36" spans="2:10" x14ac:dyDescent="0.25">
      <c r="B36" s="66">
        <v>30</v>
      </c>
      <c r="C36" s="67">
        <f>IF(B36&lt;Prisberegner!$E$50+1,Prisberegner!$E$47,IF(Prisberegner!$E$52&gt;0,Prisberegner!$E$55,Prisberegner!$E$47))</f>
        <v>30585.128816585122</v>
      </c>
      <c r="D36" s="142">
        <f>Prisberegner!$E$108+IF(B36&gt;Prisberegner!$E$94,-Prisberegner!$E$95,0)+IF(AND(B36&gt;Prisberegner!$E$100,Prisberegner!$E$104&gt;0),-(Prisberegner!$E$101-Prisberegner!$E$105),0)+IF(AND(Prisberegner!$D$83="Ja",'Tabel resultat'!B36&gt;Prisberegner!$E$84),-Prisberegner!$E$83*12,0)-IF(AND(Prisberegner!$E$100=1,B36&gt;1),Prisberegner!$E$101,0)</f>
        <v>25983.527212212182</v>
      </c>
      <c r="E36" s="67">
        <f>IF(Prisberegner!$E$135="Ja",IF(B36&lt;Prisberegner!$E$150+1,Prisberegner!$E$152,IF(Prisberegner!E$155&gt;0,Prisberegner!E$157,Prisberegner!$E$152)),NA())</f>
        <v>31971.980066323555</v>
      </c>
      <c r="F36" s="67" t="e">
        <f>IF(Prisberegner!$E$161="Ja",IF(B36&lt;Prisberegner!$E$177+1,Prisberegner!$E$179,IF(Prisberegner!E$182&gt;0,Prisberegner!E$184,Prisberegner!$E$179)),NA())</f>
        <v>#N/A</v>
      </c>
      <c r="G36" s="153">
        <f t="shared" si="0"/>
        <v>4601.6016043729396</v>
      </c>
      <c r="I36" s="167">
        <f ca="1"/>
        <v>10452.399786569629</v>
      </c>
      <c r="J36" s="168" t="str">
        <f ca="1"/>
        <v>Efter afskrevne tilslutningsbidrag om 30 år</v>
      </c>
    </row>
    <row r="37" spans="2:10" x14ac:dyDescent="0.25">
      <c r="B37" s="66">
        <v>31</v>
      </c>
      <c r="C37" s="67">
        <f>IF(B37&lt;Prisberegner!$E$50+1,Prisberegner!$E$47,IF(Prisberegner!$E$52&gt;0,Prisberegner!$E$55,Prisberegner!$E$47))</f>
        <v>30585.128816585122</v>
      </c>
      <c r="D37" s="142">
        <f>Prisberegner!$E$108+IF(B37&gt;Prisberegner!$E$94,-Prisberegner!$E$95,0)+IF(AND(B37&gt;Prisberegner!$E$100,Prisberegner!$E$104&gt;0),-(Prisberegner!$E$101-Prisberegner!$E$105),0)+IF(AND(Prisberegner!$D$83="Ja",'Tabel resultat'!B37&gt;Prisberegner!$E$84),-Prisberegner!$E$83*12,0)-IF(AND(Prisberegner!$E$100=1,B37&gt;1),Prisberegner!$E$101,0)</f>
        <v>20132.729030015493</v>
      </c>
      <c r="E37" s="67">
        <f>IF(Prisberegner!$E$135="Ja",IF(B37&lt;Prisberegner!$E$150+1,Prisberegner!$E$152,IF(Prisberegner!E$155&gt;0,Prisberegner!E$157,Prisberegner!$E$152)),NA())</f>
        <v>31971.980066323555</v>
      </c>
      <c r="F37" s="67" t="e">
        <f>IF(Prisberegner!$E$161="Ja",IF(B37&lt;Prisberegner!$E$177+1,Prisberegner!$E$179,IF(Prisberegner!E$182&gt;0,Prisberegner!E$184,Prisberegner!$E$179)),NA())</f>
        <v>#N/A</v>
      </c>
      <c r="G37" s="153">
        <f t="shared" si="0"/>
        <v>10452.399786569629</v>
      </c>
      <c r="I37" s="167">
        <f ca="1"/>
        <v>10452.399786569629</v>
      </c>
      <c r="J37" s="168" t="str">
        <f ca="1"/>
        <v>Efter levetidsforlængelse eller ny unit om 30 år</v>
      </c>
    </row>
    <row r="38" spans="2:10" x14ac:dyDescent="0.25">
      <c r="B38" s="66">
        <v>32</v>
      </c>
      <c r="C38" s="67">
        <f>IF(B38&lt;Prisberegner!$E$50+1,Prisberegner!$E$47,IF(Prisberegner!$E$52&gt;0,Prisberegner!$E$55,Prisberegner!$E$47))</f>
        <v>30585.128816585122</v>
      </c>
      <c r="D38" s="142">
        <f>Prisberegner!$E$108+IF(B38&gt;Prisberegner!$E$94,-Prisberegner!$E$95,0)+IF(AND(B38&gt;Prisberegner!$E$100,Prisberegner!$E$104&gt;0),-(Prisberegner!$E$101-Prisberegner!$E$105),0)+IF(AND(Prisberegner!$D$83="Ja",'Tabel resultat'!B38&gt;Prisberegner!$E$84),-Prisberegner!$E$83*12,0)-IF(AND(Prisberegner!$E$100=1,B38&gt;1),Prisberegner!$E$101,0)</f>
        <v>20132.729030015493</v>
      </c>
      <c r="E38" s="67">
        <f>IF(Prisberegner!$E$135="Ja",IF(B38&lt;Prisberegner!$E$150+1,Prisberegner!$E$152,IF(Prisberegner!E$155&gt;0,Prisberegner!E$157,Prisberegner!$E$152)),NA())</f>
        <v>31971.980066323555</v>
      </c>
      <c r="F38" s="67" t="e">
        <f>IF(Prisberegner!$E$161="Ja",IF(B38&lt;Prisberegner!$E$177+1,Prisberegner!$E$179,IF(Prisberegner!E$182&gt;0,Prisberegner!E$184,Prisberegner!$E$179)),NA())</f>
        <v>#N/A</v>
      </c>
      <c r="G38" s="153">
        <f t="shared" si="0"/>
        <v>10452.399786569629</v>
      </c>
      <c r="I38" s="167" t="str">
        <f ca="1"/>
        <v/>
      </c>
      <c r="J38" s="169" t="str">
        <f ca="1"/>
        <v/>
      </c>
    </row>
    <row r="39" spans="2:10" x14ac:dyDescent="0.25">
      <c r="B39" s="66">
        <v>33</v>
      </c>
      <c r="C39" s="67">
        <f>IF(B39&lt;Prisberegner!$E$50+1,Prisberegner!$E$47,IF(Prisberegner!$E$52&gt;0,Prisberegner!$E$55,Prisberegner!$E$47))</f>
        <v>30585.128816585122</v>
      </c>
      <c r="D39" s="142">
        <f>Prisberegner!$E$108+IF(B39&gt;Prisberegner!$E$94,-Prisberegner!$E$95,0)+IF(AND(B39&gt;Prisberegner!$E$100,Prisberegner!$E$104&gt;0),-(Prisberegner!$E$101-Prisberegner!$E$105),0)+IF(AND(Prisberegner!$D$83="Ja",'Tabel resultat'!B39&gt;Prisberegner!$E$84),-Prisberegner!$E$83*12,0)-IF(AND(Prisberegner!$E$100=1,B39&gt;1),Prisberegner!$E$101,0)</f>
        <v>20132.729030015493</v>
      </c>
      <c r="E39" s="67">
        <f>IF(Prisberegner!$E$135="Ja",IF(B39&lt;Prisberegner!$E$150+1,Prisberegner!$E$152,IF(Prisberegner!E$155&gt;0,Prisberegner!E$157,Prisberegner!$E$152)),NA())</f>
        <v>31971.980066323555</v>
      </c>
      <c r="F39" s="67" t="e">
        <f>IF(Prisberegner!$E$161="Ja",IF(B39&lt;Prisberegner!$E$177+1,Prisberegner!$E$179,IF(Prisberegner!E$182&gt;0,Prisberegner!E$184,Prisberegner!$E$179)),NA())</f>
        <v>#N/A</v>
      </c>
      <c r="G39" s="153">
        <f t="shared" si="0"/>
        <v>10452.399786569629</v>
      </c>
      <c r="I39" s="170"/>
      <c r="J39" s="171"/>
    </row>
    <row r="40" spans="2:10" x14ac:dyDescent="0.25">
      <c r="B40" s="66">
        <v>34</v>
      </c>
      <c r="C40" s="67">
        <f>IF(B40&lt;Prisberegner!$E$50+1,Prisberegner!$E$47,IF(Prisberegner!$E$52&gt;0,Prisberegner!$E$55,Prisberegner!$E$47))</f>
        <v>30585.128816585122</v>
      </c>
      <c r="D40" s="142">
        <f>Prisberegner!$E$108+IF(B40&gt;Prisberegner!$E$94,-Prisberegner!$E$95,0)+IF(AND(B40&gt;Prisberegner!$E$100,Prisberegner!$E$104&gt;0),-(Prisberegner!$E$101-Prisberegner!$E$105),0)+IF(AND(Prisberegner!$D$83="Ja",'Tabel resultat'!B40&gt;Prisberegner!$E$84),-Prisberegner!$E$83*12,0)-IF(AND(Prisberegner!$E$100=1,B40&gt;1),Prisberegner!$E$101,0)</f>
        <v>20132.729030015493</v>
      </c>
      <c r="E40" s="67">
        <f>IF(Prisberegner!$E$135="Ja",IF(B40&lt;Prisberegner!$E$150+1,Prisberegner!$E$152,IF(Prisberegner!E$155&gt;0,Prisberegner!E$157,Prisberegner!$E$152)),NA())</f>
        <v>31971.980066323555</v>
      </c>
      <c r="F40" s="67" t="e">
        <f>IF(Prisberegner!$E$161="Ja",IF(B40&lt;Prisberegner!$E$177+1,Prisberegner!$E$179,IF(Prisberegner!E$182&gt;0,Prisberegner!E$184,Prisberegner!$E$179)),NA())</f>
        <v>#N/A</v>
      </c>
      <c r="G40" s="153">
        <f t="shared" si="0"/>
        <v>10452.399786569629</v>
      </c>
    </row>
    <row r="41" spans="2:10" x14ac:dyDescent="0.25">
      <c r="B41" s="66">
        <v>35</v>
      </c>
      <c r="C41" s="67">
        <f>IF(B41&lt;Prisberegner!$E$50+1,Prisberegner!$E$47,IF(Prisberegner!$E$52&gt;0,Prisberegner!$E$55,Prisberegner!$E$47))</f>
        <v>30585.128816585122</v>
      </c>
      <c r="D41" s="142">
        <f>Prisberegner!$E$108+IF(B41&gt;Prisberegner!$E$94,-Prisberegner!$E$95,0)+IF(AND(B41&gt;Prisberegner!$E$100,Prisberegner!$E$104&gt;0),-(Prisberegner!$E$101-Prisberegner!$E$105),0)+IF(AND(Prisberegner!$D$83="Ja",'Tabel resultat'!B41&gt;Prisberegner!$E$84),-Prisberegner!$E$83*12,0)-IF(AND(Prisberegner!$E$100=1,B41&gt;1),Prisberegner!$E$101,0)</f>
        <v>20132.729030015493</v>
      </c>
      <c r="E41" s="67">
        <f>IF(Prisberegner!$E$135="Ja",IF(B41&lt;Prisberegner!$E$150+1,Prisberegner!$E$152,IF(Prisberegner!E$155&gt;0,Prisberegner!E$157,Prisberegner!$E$152)),NA())</f>
        <v>31971.980066323555</v>
      </c>
      <c r="F41" s="67" t="e">
        <f>IF(Prisberegner!$E$161="Ja",IF(B41&lt;Prisberegner!$E$177+1,Prisberegner!$E$179,IF(Prisberegner!E$182&gt;0,Prisberegner!E$184,Prisberegner!$E$179)),NA())</f>
        <v>#N/A</v>
      </c>
      <c r="G41" s="153">
        <f t="shared" si="0"/>
        <v>10452.399786569629</v>
      </c>
    </row>
    <row r="42" spans="2:10" x14ac:dyDescent="0.25">
      <c r="B42" s="66">
        <v>36</v>
      </c>
      <c r="C42" s="67">
        <f>IF(B42&lt;Prisberegner!$E$50+1,Prisberegner!$E$47,IF(Prisberegner!$E$52&gt;0,Prisberegner!$E$55,Prisberegner!$E$47))</f>
        <v>30585.128816585122</v>
      </c>
      <c r="D42" s="142">
        <f>Prisberegner!$E$108+IF(B42&gt;Prisberegner!$E$94,-Prisberegner!$E$95,0)+IF(AND(B42&gt;Prisberegner!$E$100,Prisberegner!$E$104&gt;0),-(Prisberegner!$E$101-Prisberegner!$E$105),0)+IF(AND(Prisberegner!$D$83="Ja",'Tabel resultat'!B42&gt;Prisberegner!$E$84),-Prisberegner!$E$83*12,0)-IF(AND(Prisberegner!$E$100=1,B42&gt;1),Prisberegner!$E$101,0)</f>
        <v>20132.729030015493</v>
      </c>
      <c r="E42" s="67">
        <f>IF(Prisberegner!$E$135="Ja",IF(B42&lt;Prisberegner!$E$150+1,Prisberegner!$E$152,IF(Prisberegner!E$155&gt;0,Prisberegner!E$157,Prisberegner!$E$152)),NA())</f>
        <v>31971.980066323555</v>
      </c>
      <c r="F42" s="67" t="e">
        <f>IF(Prisberegner!$E$161="Ja",IF(B42&lt;Prisberegner!$E$177+1,Prisberegner!$E$179,IF(Prisberegner!E$182&gt;0,Prisberegner!E$184,Prisberegner!$E$179)),NA())</f>
        <v>#N/A</v>
      </c>
      <c r="G42" s="153">
        <f t="shared" si="0"/>
        <v>10452.399786569629</v>
      </c>
    </row>
    <row r="43" spans="2:10" x14ac:dyDescent="0.25">
      <c r="B43" s="66">
        <v>37</v>
      </c>
      <c r="C43" s="67">
        <f>IF(B43&lt;Prisberegner!$E$50+1,Prisberegner!$E$47,IF(Prisberegner!$E$52&gt;0,Prisberegner!$E$55,Prisberegner!$E$47))</f>
        <v>30585.128816585122</v>
      </c>
      <c r="D43" s="142">
        <f>Prisberegner!$E$108+IF(B43&gt;Prisberegner!$E$94,-Prisberegner!$E$95,0)+IF(AND(B43&gt;Prisberegner!$E$100,Prisberegner!$E$104&gt;0),-(Prisberegner!$E$101-Prisberegner!$E$105),0)+IF(AND(Prisberegner!$D$83="Ja",'Tabel resultat'!B43&gt;Prisberegner!$E$84),-Prisberegner!$E$83*12,0)-IF(AND(Prisberegner!$E$100=1,B43&gt;1),Prisberegner!$E$101,0)</f>
        <v>20132.729030015493</v>
      </c>
      <c r="E43" s="67">
        <f>IF(Prisberegner!$E$135="Ja",IF(B43&lt;Prisberegner!$E$150+1,Prisberegner!$E$152,IF(Prisberegner!E$155&gt;0,Prisberegner!E$157,Prisberegner!$E$152)),NA())</f>
        <v>31971.980066323555</v>
      </c>
      <c r="F43" s="67" t="e">
        <f>IF(Prisberegner!$E$161="Ja",IF(B43&lt;Prisberegner!$E$177+1,Prisberegner!$E$179,IF(Prisberegner!E$182&gt;0,Prisberegner!E$184,Prisberegner!$E$179)),NA())</f>
        <v>#N/A</v>
      </c>
      <c r="G43" s="153">
        <f t="shared" si="0"/>
        <v>10452.399786569629</v>
      </c>
    </row>
    <row r="44" spans="2:10" x14ac:dyDescent="0.25">
      <c r="B44" s="66">
        <v>38</v>
      </c>
      <c r="C44" s="67">
        <f>IF(B44&lt;Prisberegner!$E$50+1,Prisberegner!$E$47,IF(Prisberegner!$E$52&gt;0,Prisberegner!$E$55,Prisberegner!$E$47))</f>
        <v>30585.128816585122</v>
      </c>
      <c r="D44" s="142">
        <f>Prisberegner!$E$108+IF(B44&gt;Prisberegner!$E$94,-Prisberegner!$E$95,0)+IF(AND(B44&gt;Prisberegner!$E$100,Prisberegner!$E$104&gt;0),-(Prisberegner!$E$101-Prisberegner!$E$105),0)+IF(AND(Prisberegner!$D$83="Ja",'Tabel resultat'!B44&gt;Prisberegner!$E$84),-Prisberegner!$E$83*12,0)-IF(AND(Prisberegner!$E$100=1,B44&gt;1),Prisberegner!$E$101,0)</f>
        <v>20132.729030015493</v>
      </c>
      <c r="E44" s="67">
        <f>IF(Prisberegner!$E$135="Ja",IF(B44&lt;Prisberegner!$E$150+1,Prisberegner!$E$152,IF(Prisberegner!E$155&gt;0,Prisberegner!E$157,Prisberegner!$E$152)),NA())</f>
        <v>31971.980066323555</v>
      </c>
      <c r="F44" s="67" t="e">
        <f>IF(Prisberegner!$E$161="Ja",IF(B44&lt;Prisberegner!$E$177+1,Prisberegner!$E$179,IF(Prisberegner!E$182&gt;0,Prisberegner!E$184,Prisberegner!$E$179)),NA())</f>
        <v>#N/A</v>
      </c>
      <c r="G44" s="153">
        <f t="shared" si="0"/>
        <v>10452.399786569629</v>
      </c>
    </row>
    <row r="45" spans="2:10" x14ac:dyDescent="0.25">
      <c r="B45" s="66">
        <v>39</v>
      </c>
      <c r="C45" s="67">
        <f>IF(B45&lt;Prisberegner!$E$50+1,Prisberegner!$E$47,IF(Prisberegner!$E$52&gt;0,Prisberegner!$E$55,Prisberegner!$E$47))</f>
        <v>30585.128816585122</v>
      </c>
      <c r="D45" s="142">
        <f>Prisberegner!$E$108+IF(B45&gt;Prisberegner!$E$94,-Prisberegner!$E$95,0)+IF(AND(B45&gt;Prisberegner!$E$100,Prisberegner!$E$104&gt;0),-(Prisberegner!$E$101-Prisberegner!$E$105),0)+IF(AND(Prisberegner!$D$83="Ja",'Tabel resultat'!B45&gt;Prisberegner!$E$84),-Prisberegner!$E$83*12,0)-IF(AND(Prisberegner!$E$100=1,B45&gt;1),Prisberegner!$E$101,0)</f>
        <v>20132.729030015493</v>
      </c>
      <c r="E45" s="67">
        <f>IF(Prisberegner!$E$135="Ja",IF(B45&lt;Prisberegner!$E$150+1,Prisberegner!$E$152,IF(Prisberegner!E$155&gt;0,Prisberegner!E$157,Prisberegner!$E$152)),NA())</f>
        <v>31971.980066323555</v>
      </c>
      <c r="F45" s="67" t="e">
        <f>IF(Prisberegner!$E$161="Ja",IF(B45&lt;Prisberegner!$E$177+1,Prisberegner!$E$179,IF(Prisberegner!E$182&gt;0,Prisberegner!E$184,Prisberegner!$E$179)),NA())</f>
        <v>#N/A</v>
      </c>
      <c r="G45" s="153">
        <f t="shared" si="0"/>
        <v>10452.399786569629</v>
      </c>
    </row>
    <row r="46" spans="2:10" x14ac:dyDescent="0.25">
      <c r="B46" s="66">
        <v>40</v>
      </c>
      <c r="C46" s="67">
        <f>IF(B46&lt;Prisberegner!$E$50+1,Prisberegner!$E$47,IF(Prisberegner!$E$52&gt;0,Prisberegner!$E$55,Prisberegner!$E$47))</f>
        <v>30585.128816585122</v>
      </c>
      <c r="D46" s="142">
        <f>Prisberegner!$E$108+IF(B46&gt;Prisberegner!$E$94,-Prisberegner!$E$95,0)+IF(AND(B46&gt;Prisberegner!$E$100,Prisberegner!$E$104&gt;0),-(Prisberegner!$E$101-Prisberegner!$E$105),0)+IF(AND(Prisberegner!$D$83="Ja",'Tabel resultat'!B46&gt;Prisberegner!$E$84),-Prisberegner!$E$83*12,0)-IF(AND(Prisberegner!$E$100=1,B46&gt;1),Prisberegner!$E$101,0)</f>
        <v>20132.729030015493</v>
      </c>
      <c r="E46" s="67">
        <f>IF(Prisberegner!$E$135="Ja",IF(B46&lt;Prisberegner!$E$150+1,Prisberegner!$E$152,IF(Prisberegner!E$155&gt;0,Prisberegner!E$157,Prisberegner!$E$152)),NA())</f>
        <v>31971.980066323555</v>
      </c>
      <c r="F46" s="67" t="e">
        <f>IF(Prisberegner!$E$161="Ja",IF(B46&lt;Prisberegner!$E$177+1,Prisberegner!$E$179,IF(Prisberegner!E$182&gt;0,Prisberegner!E$184,Prisberegner!$E$179)),NA())</f>
        <v>#N/A</v>
      </c>
      <c r="G46" s="153">
        <f t="shared" si="0"/>
        <v>10452.399786569629</v>
      </c>
    </row>
    <row r="47" spans="2:10" x14ac:dyDescent="0.25">
      <c r="B47" s="66">
        <v>41</v>
      </c>
      <c r="C47" s="67">
        <f>IF(B47&lt;Prisberegner!$E$50+1,Prisberegner!$E$47,IF(Prisberegner!$E$52&gt;0,Prisberegner!$E$55,Prisberegner!$E$47))</f>
        <v>30585.128816585122</v>
      </c>
      <c r="D47" s="142">
        <f>Prisberegner!$E$108+IF(B47&gt;Prisberegner!$E$94,-Prisberegner!$E$95,0)+IF(AND(B47&gt;Prisberegner!$E$100,Prisberegner!$E$104&gt;0),-(Prisberegner!$E$101-Prisberegner!$E$105),0)+IF(AND(Prisberegner!$D$83="Ja",'Tabel resultat'!B47&gt;Prisberegner!$E$84),-Prisberegner!$E$83*12,0)-IF(AND(Prisberegner!$E$100=1,B47&gt;1),Prisberegner!$E$101,0)</f>
        <v>20132.729030015493</v>
      </c>
      <c r="E47" s="67">
        <f>IF(Prisberegner!$E$135="Ja",IF(B47&lt;Prisberegner!$E$150+1,Prisberegner!$E$152,IF(Prisberegner!E$155&gt;0,Prisberegner!E$157,Prisberegner!$E$152)),NA())</f>
        <v>31971.980066323555</v>
      </c>
      <c r="F47" s="67" t="e">
        <f>IF(Prisberegner!$E$161="Ja",IF(B47&lt;Prisberegner!$E$177+1,Prisberegner!$E$179,IF(Prisberegner!E$182&gt;0,Prisberegner!E$184,Prisberegner!$E$179)),NA())</f>
        <v>#N/A</v>
      </c>
      <c r="G47" s="153">
        <f t="shared" si="0"/>
        <v>10452.399786569629</v>
      </c>
    </row>
    <row r="48" spans="2:10" x14ac:dyDescent="0.25">
      <c r="B48" s="66">
        <v>42</v>
      </c>
      <c r="C48" s="67">
        <f>IF(B48&lt;Prisberegner!$E$50+1,Prisberegner!$E$47,IF(Prisberegner!$E$52&gt;0,Prisberegner!$E$55,Prisberegner!$E$47))</f>
        <v>30585.128816585122</v>
      </c>
      <c r="D48" s="142">
        <f>Prisberegner!$E$108+IF(B48&gt;Prisberegner!$E$94,-Prisberegner!$E$95,0)+IF(AND(B48&gt;Prisberegner!$E$100,Prisberegner!$E$104&gt;0),-(Prisberegner!$E$101-Prisberegner!$E$105),0)+IF(AND(Prisberegner!$D$83="Ja",'Tabel resultat'!B48&gt;Prisberegner!$E$84),-Prisberegner!$E$83*12,0)-IF(AND(Prisberegner!$E$100=1,B48&gt;1),Prisberegner!$E$101,0)</f>
        <v>20132.729030015493</v>
      </c>
      <c r="E48" s="67">
        <f>IF(Prisberegner!$E$135="Ja",IF(B48&lt;Prisberegner!$E$150+1,Prisberegner!$E$152,IF(Prisberegner!E$155&gt;0,Prisberegner!E$157,Prisberegner!$E$152)),NA())</f>
        <v>31971.980066323555</v>
      </c>
      <c r="F48" s="67" t="e">
        <f>IF(Prisberegner!$E$161="Ja",IF(B48&lt;Prisberegner!$E$177+1,Prisberegner!$E$179,IF(Prisberegner!E$182&gt;0,Prisberegner!E$184,Prisberegner!$E$179)),NA())</f>
        <v>#N/A</v>
      </c>
      <c r="G48" s="153">
        <f t="shared" si="0"/>
        <v>10452.399786569629</v>
      </c>
    </row>
    <row r="49" spans="2:7" x14ac:dyDescent="0.25">
      <c r="B49" s="66">
        <v>43</v>
      </c>
      <c r="C49" s="67">
        <f>IF(B49&lt;Prisberegner!$E$50+1,Prisberegner!$E$47,IF(Prisberegner!$E$52&gt;0,Prisberegner!$E$55,Prisberegner!$E$47))</f>
        <v>30585.128816585122</v>
      </c>
      <c r="D49" s="142">
        <f>Prisberegner!$E$108+IF(B49&gt;Prisberegner!$E$94,-Prisberegner!$E$95,0)+IF(AND(B49&gt;Prisberegner!$E$100,Prisberegner!$E$104&gt;0),-(Prisberegner!$E$101-Prisberegner!$E$105),0)+IF(AND(Prisberegner!$D$83="Ja",'Tabel resultat'!B49&gt;Prisberegner!$E$84),-Prisberegner!$E$83*12,0)-IF(AND(Prisberegner!$E$100=1,B49&gt;1),Prisberegner!$E$101,0)</f>
        <v>20132.729030015493</v>
      </c>
      <c r="E49" s="67">
        <f>IF(Prisberegner!$E$135="Ja",IF(B49&lt;Prisberegner!$E$150+1,Prisberegner!$E$152,IF(Prisberegner!E$155&gt;0,Prisberegner!E$157,Prisberegner!$E$152)),NA())</f>
        <v>31971.980066323555</v>
      </c>
      <c r="F49" s="67" t="e">
        <f>IF(Prisberegner!$E$161="Ja",IF(B49&lt;Prisberegner!$E$177+1,Prisberegner!$E$179,IF(Prisberegner!E$182&gt;0,Prisberegner!E$184,Prisberegner!$E$179)),NA())</f>
        <v>#N/A</v>
      </c>
      <c r="G49" s="153">
        <f t="shared" si="0"/>
        <v>10452.399786569629</v>
      </c>
    </row>
    <row r="50" spans="2:7" x14ac:dyDescent="0.25">
      <c r="B50" s="66">
        <v>44</v>
      </c>
      <c r="C50" s="67">
        <f>IF(B50&lt;Prisberegner!$E$50+1,Prisberegner!$E$47,IF(Prisberegner!$E$52&gt;0,Prisberegner!$E$55,Prisberegner!$E$47))</f>
        <v>30585.128816585122</v>
      </c>
      <c r="D50" s="142">
        <f>Prisberegner!$E$108+IF(B50&gt;Prisberegner!$E$94,-Prisberegner!$E$95,0)+IF(AND(B50&gt;Prisberegner!$E$100,Prisberegner!$E$104&gt;0),-(Prisberegner!$E$101-Prisberegner!$E$105),0)+IF(AND(Prisberegner!$D$83="Ja",'Tabel resultat'!B50&gt;Prisberegner!$E$84),-Prisberegner!$E$83*12,0)-IF(AND(Prisberegner!$E$100=1,B50&gt;1),Prisberegner!$E$101,0)</f>
        <v>20132.729030015493</v>
      </c>
      <c r="E50" s="67">
        <f>IF(Prisberegner!$E$135="Ja",IF(B50&lt;Prisberegner!$E$150+1,Prisberegner!$E$152,IF(Prisberegner!E$155&gt;0,Prisberegner!E$157,Prisberegner!$E$152)),NA())</f>
        <v>31971.980066323555</v>
      </c>
      <c r="F50" s="67" t="e">
        <f>IF(Prisberegner!$E$161="Ja",IF(B50&lt;Prisberegner!$E$177+1,Prisberegner!$E$179,IF(Prisberegner!E$182&gt;0,Prisberegner!E$184,Prisberegner!$E$179)),NA())</f>
        <v>#N/A</v>
      </c>
      <c r="G50" s="153">
        <f t="shared" si="0"/>
        <v>10452.399786569629</v>
      </c>
    </row>
    <row r="51" spans="2:7" x14ac:dyDescent="0.25">
      <c r="B51" s="66">
        <v>45</v>
      </c>
      <c r="C51" s="67">
        <f>IF(B51&lt;Prisberegner!$E$50+1,Prisberegner!$E$47,IF(Prisberegner!$E$52&gt;0,Prisberegner!$E$55,Prisberegner!$E$47))</f>
        <v>30585.128816585122</v>
      </c>
      <c r="D51" s="142">
        <f>Prisberegner!$E$108+IF(B51&gt;Prisberegner!$E$94,-Prisberegner!$E$95,0)+IF(AND(B51&gt;Prisberegner!$E$100,Prisberegner!$E$104&gt;0),-(Prisberegner!$E$101-Prisberegner!$E$105),0)+IF(AND(Prisberegner!$D$83="Ja",'Tabel resultat'!B51&gt;Prisberegner!$E$84),-Prisberegner!$E$83*12,0)-IF(AND(Prisberegner!$E$100=1,B51&gt;1),Prisberegner!$E$101,0)</f>
        <v>20132.729030015493</v>
      </c>
      <c r="E51" s="67">
        <f>IF(Prisberegner!$E$135="Ja",IF(B51&lt;Prisberegner!$E$150+1,Prisberegner!$E$152,IF(Prisberegner!E$155&gt;0,Prisberegner!E$157,Prisberegner!$E$152)),NA())</f>
        <v>31971.980066323555</v>
      </c>
      <c r="F51" s="67" t="e">
        <f>IF(Prisberegner!$E$161="Ja",IF(B51&lt;Prisberegner!$E$177+1,Prisberegner!$E$179,IF(Prisberegner!E$182&gt;0,Prisberegner!E$184,Prisberegner!$E$179)),NA())</f>
        <v>#N/A</v>
      </c>
      <c r="G51" s="153">
        <f t="shared" si="0"/>
        <v>10452.399786569629</v>
      </c>
    </row>
    <row r="52" spans="2:7" x14ac:dyDescent="0.25">
      <c r="B52" s="66">
        <v>46</v>
      </c>
      <c r="C52" s="67">
        <f>IF(B52&lt;Prisberegner!$E$50+1,Prisberegner!$E$47,IF(Prisberegner!$E$52&gt;0,Prisberegner!$E$55,Prisberegner!$E$47))</f>
        <v>30585.128816585122</v>
      </c>
      <c r="D52" s="142">
        <f>Prisberegner!$E$108+IF(B52&gt;Prisberegner!$E$94,-Prisberegner!$E$95,0)+IF(AND(B52&gt;Prisberegner!$E$100,Prisberegner!$E$104&gt;0),-(Prisberegner!$E$101-Prisberegner!$E$105),0)+IF(AND(Prisberegner!$D$83="Ja",'Tabel resultat'!B52&gt;Prisberegner!$E$84),-Prisberegner!$E$83*12,0)-IF(AND(Prisberegner!$E$100=1,B52&gt;1),Prisberegner!$E$101,0)</f>
        <v>20132.729030015493</v>
      </c>
      <c r="E52" s="67">
        <f>IF(Prisberegner!$E$135="Ja",IF(B52&lt;Prisberegner!$E$150+1,Prisberegner!$E$152,IF(Prisberegner!E$155&gt;0,Prisberegner!E$157,Prisberegner!$E$152)),NA())</f>
        <v>31971.980066323555</v>
      </c>
      <c r="F52" s="67" t="e">
        <f>IF(Prisberegner!$E$161="Ja",IF(B52&lt;Prisberegner!$E$177+1,Prisberegner!$E$179,IF(Prisberegner!E$182&gt;0,Prisberegner!E$184,Prisberegner!$E$179)),NA())</f>
        <v>#N/A</v>
      </c>
      <c r="G52" s="153">
        <f t="shared" si="0"/>
        <v>10452.399786569629</v>
      </c>
    </row>
    <row r="53" spans="2:7" x14ac:dyDescent="0.25">
      <c r="B53" s="66">
        <v>47</v>
      </c>
      <c r="C53" s="67">
        <f>IF(B53&lt;Prisberegner!$E$50+1,Prisberegner!$E$47,IF(Prisberegner!$E$52&gt;0,Prisberegner!$E$55,Prisberegner!$E$47))</f>
        <v>30585.128816585122</v>
      </c>
      <c r="D53" s="142">
        <f>Prisberegner!$E$108+IF(B53&gt;Prisberegner!$E$94,-Prisberegner!$E$95,0)+IF(AND(B53&gt;Prisberegner!$E$100,Prisberegner!$E$104&gt;0),-(Prisberegner!$E$101-Prisberegner!$E$105),0)+IF(AND(Prisberegner!$D$83="Ja",'Tabel resultat'!B53&gt;Prisberegner!$E$84),-Prisberegner!$E$83*12,0)-IF(AND(Prisberegner!$E$100=1,B53&gt;1),Prisberegner!$E$101,0)</f>
        <v>20132.729030015493</v>
      </c>
      <c r="E53" s="67">
        <f>IF(Prisberegner!$E$135="Ja",IF(B53&lt;Prisberegner!$E$150+1,Prisberegner!$E$152,IF(Prisberegner!E$155&gt;0,Prisberegner!E$157,Prisberegner!$E$152)),NA())</f>
        <v>31971.980066323555</v>
      </c>
      <c r="F53" s="67" t="e">
        <f>IF(Prisberegner!$E$161="Ja",IF(B53&lt;Prisberegner!$E$177+1,Prisberegner!$E$179,IF(Prisberegner!E$182&gt;0,Prisberegner!E$184,Prisberegner!$E$179)),NA())</f>
        <v>#N/A</v>
      </c>
      <c r="G53" s="153">
        <f t="shared" si="0"/>
        <v>10452.399786569629</v>
      </c>
    </row>
    <row r="54" spans="2:7" x14ac:dyDescent="0.25">
      <c r="B54" s="66">
        <v>48</v>
      </c>
      <c r="C54" s="67">
        <f>IF(B54&lt;Prisberegner!$E$50+1,Prisberegner!$E$47,IF(Prisberegner!$E$52&gt;0,Prisberegner!$E$55,Prisberegner!$E$47))</f>
        <v>30585.128816585122</v>
      </c>
      <c r="D54" s="142">
        <f>Prisberegner!$E$108+IF(B54&gt;Prisberegner!$E$94,-Prisberegner!$E$95,0)+IF(AND(B54&gt;Prisberegner!$E$100,Prisberegner!$E$104&gt;0),-(Prisberegner!$E$101-Prisberegner!$E$105),0)+IF(AND(Prisberegner!$D$83="Ja",'Tabel resultat'!B54&gt;Prisberegner!$E$84),-Prisberegner!$E$83*12,0)-IF(AND(Prisberegner!$E$100=1,B54&gt;1),Prisberegner!$E$101,0)</f>
        <v>20132.729030015493</v>
      </c>
      <c r="E54" s="67">
        <f>IF(Prisberegner!$E$135="Ja",IF(B54&lt;Prisberegner!$E$150+1,Prisberegner!$E$152,IF(Prisberegner!E$155&gt;0,Prisberegner!E$157,Prisberegner!$E$152)),NA())</f>
        <v>31971.980066323555</v>
      </c>
      <c r="F54" s="67" t="e">
        <f>IF(Prisberegner!$E$161="Ja",IF(B54&lt;Prisberegner!$E$177+1,Prisberegner!$E$179,IF(Prisberegner!E$182&gt;0,Prisberegner!E$184,Prisberegner!$E$179)),NA())</f>
        <v>#N/A</v>
      </c>
      <c r="G54" s="153">
        <f t="shared" si="0"/>
        <v>10452.399786569629</v>
      </c>
    </row>
    <row r="55" spans="2:7" x14ac:dyDescent="0.25">
      <c r="B55" s="66">
        <v>49</v>
      </c>
      <c r="C55" s="67">
        <f>IF(B55&lt;Prisberegner!$E$50+1,Prisberegner!$E$47,IF(Prisberegner!$E$52&gt;0,Prisberegner!$E$55,Prisberegner!$E$47))</f>
        <v>30585.128816585122</v>
      </c>
      <c r="D55" s="142">
        <f>Prisberegner!$E$108+IF(B55&gt;Prisberegner!$E$94,-Prisberegner!$E$95,0)+IF(AND(B55&gt;Prisberegner!$E$100,Prisberegner!$E$104&gt;0),-(Prisberegner!$E$101-Prisberegner!$E$105),0)+IF(AND(Prisberegner!$D$83="Ja",'Tabel resultat'!B55&gt;Prisberegner!$E$84),-Prisberegner!$E$83*12,0)-IF(AND(Prisberegner!$E$100=1,B55&gt;1),Prisberegner!$E$101,0)</f>
        <v>20132.729030015493</v>
      </c>
      <c r="E55" s="67">
        <f>IF(Prisberegner!$E$135="Ja",IF(B55&lt;Prisberegner!$E$150+1,Prisberegner!$E$152,IF(Prisberegner!E$155&gt;0,Prisberegner!E$157,Prisberegner!$E$152)),NA())</f>
        <v>31971.980066323555</v>
      </c>
      <c r="F55" s="67" t="e">
        <f>IF(Prisberegner!$E$161="Ja",IF(B55&lt;Prisberegner!$E$177+1,Prisberegner!$E$179,IF(Prisberegner!E$182&gt;0,Prisberegner!E$184,Prisberegner!$E$179)),NA())</f>
        <v>#N/A</v>
      </c>
      <c r="G55" s="153">
        <f t="shared" si="0"/>
        <v>10452.399786569629</v>
      </c>
    </row>
    <row r="56" spans="2:7" x14ac:dyDescent="0.25">
      <c r="B56" s="66">
        <v>50</v>
      </c>
      <c r="C56" s="67">
        <f>IF(B56&lt;Prisberegner!$E$50+1,Prisberegner!$E$47,IF(Prisberegner!$E$52&gt;0,Prisberegner!$E$55,Prisberegner!$E$47))</f>
        <v>30585.128816585122</v>
      </c>
      <c r="D56" s="142">
        <f>Prisberegner!$E$108+IF(B56&gt;Prisberegner!$E$94,-Prisberegner!$E$95,0)+IF(AND(B56&gt;Prisberegner!$E$100,Prisberegner!$E$104&gt;0),-(Prisberegner!$E$101-Prisberegner!$E$105),0)+IF(AND(Prisberegner!$D$83="Ja",'Tabel resultat'!B56&gt;Prisberegner!$E$84),-Prisberegner!$E$83*12,0)-IF(AND(Prisberegner!$E$100=1,B56&gt;1),Prisberegner!$E$101,0)</f>
        <v>20132.729030015493</v>
      </c>
      <c r="E56" s="67">
        <f>IF(Prisberegner!$E$135="Ja",IF(B56&lt;Prisberegner!$E$150+1,Prisberegner!$E$152,IF(Prisberegner!E$155&gt;0,Prisberegner!E$157,Prisberegner!$E$152)),NA())</f>
        <v>31971.980066323555</v>
      </c>
      <c r="F56" s="67" t="e">
        <f>IF(Prisberegner!$E$161="Ja",IF(B56&lt;Prisberegner!$E$177+1,Prisberegner!$E$179,IF(Prisberegner!E$182&gt;0,Prisberegner!E$184,Prisberegner!$E$179)),NA())</f>
        <v>#N/A</v>
      </c>
      <c r="G56" s="153">
        <f t="shared" si="0"/>
        <v>10452.399786569629</v>
      </c>
    </row>
    <row r="57" spans="2:7" x14ac:dyDescent="0.25">
      <c r="E57" s="66"/>
      <c r="F57" s="66"/>
    </row>
    <row r="58" spans="2:7" x14ac:dyDescent="0.25">
      <c r="B58" s="60" t="s">
        <v>309</v>
      </c>
      <c r="C58" s="73">
        <f>SUM(C7:C56)</f>
        <v>1523639.4597259075</v>
      </c>
      <c r="D58" s="73">
        <f>SUM(D7:D56)</f>
        <v>1182160.3969666758</v>
      </c>
      <c r="E58" s="73">
        <f t="shared" ref="E58:F58" si="1">SUM(E7:E56)</f>
        <v>1598599.0033161792</v>
      </c>
      <c r="F58" s="73" t="e">
        <f t="shared" si="1"/>
        <v>#N/A</v>
      </c>
    </row>
    <row r="60" spans="2:7" x14ac:dyDescent="0.25">
      <c r="C60" s="71" t="s">
        <v>310</v>
      </c>
      <c r="D60" s="71" t="s">
        <v>310</v>
      </c>
      <c r="E60" s="71" t="s">
        <v>310</v>
      </c>
      <c r="F60" s="71" t="s">
        <v>310</v>
      </c>
    </row>
    <row r="61" spans="2:7" x14ac:dyDescent="0.25">
      <c r="C61" s="67">
        <f>C58/(50*12)</f>
        <v>2539.3990995431791</v>
      </c>
      <c r="D61" s="67">
        <f>D58/(50*12)</f>
        <v>1970.267328277793</v>
      </c>
      <c r="E61" s="67">
        <f>E58/(50*12)</f>
        <v>2664.3316721936321</v>
      </c>
      <c r="F61" s="67" t="e">
        <f>F58/(50*12)</f>
        <v>#N/A</v>
      </c>
    </row>
  </sheetData>
  <sheetProtection algorithmName="SHA-512" hashValue="+q1Def6de3d8P0SJitvQ7gDGb4fq7z9nplBEe/Hy9I0y6dXXmtoKVbmWNrfJ9HuyrzFBN7oH8t12ZraqHM7ODA==" saltValue="Lj+PrFKyqepYHIP57SSjlg==" spinCount="100000" sheet="1" objects="1" scenarios="1"/>
  <mergeCells count="2">
    <mergeCell ref="C2:F3"/>
    <mergeCell ref="C5:F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F644EC154761B4F8AB4D481154DC34D" ma:contentTypeVersion="11" ma:contentTypeDescription="Opret et nyt dokument." ma:contentTypeScope="" ma:versionID="025e21bfec41e3e8ea7acf80e66511a8">
  <xsd:schema xmlns:xsd="http://www.w3.org/2001/XMLSchema" xmlns:xs="http://www.w3.org/2001/XMLSchema" xmlns:p="http://schemas.microsoft.com/office/2006/metadata/properties" xmlns:ns2="628c7a70-333b-437b-91d2-c52b75cc7b07" xmlns:ns3="a50c8483-829c-4b5b-81cb-af1ae13878c9" targetNamespace="http://schemas.microsoft.com/office/2006/metadata/properties" ma:root="true" ma:fieldsID="df0f23e60bc2a0ce328e43f56d52a9ac" ns2:_="" ns3:_="">
    <xsd:import namespace="628c7a70-333b-437b-91d2-c52b75cc7b07"/>
    <xsd:import namespace="a50c8483-829c-4b5b-81cb-af1ae13878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8c7a70-333b-437b-91d2-c52b75cc7b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illedmærker" ma:readOnly="false" ma:fieldId="{5cf76f15-5ced-4ddc-b409-7134ff3c332f}" ma:taxonomyMulti="true" ma:sspId="52a93439-190d-45cd-ad8b-d7897e23e8f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0c8483-829c-4b5b-81cb-af1ae13878c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beb4bc6-ae22-4384-b54d-eb9f17bf48cb}" ma:internalName="TaxCatchAll" ma:showField="CatchAllData" ma:web="a50c8483-829c-4b5b-81cb-af1ae13878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28c7a70-333b-437b-91d2-c52b75cc7b07">
      <Terms xmlns="http://schemas.microsoft.com/office/infopath/2007/PartnerControls"/>
    </lcf76f155ced4ddcb4097134ff3c332f>
    <TaxCatchAll xmlns="a50c8483-829c-4b5b-81cb-af1ae13878c9" xsi:nil="true"/>
  </documentManagement>
</p:properties>
</file>

<file path=customXml/itemProps1.xml><?xml version="1.0" encoding="utf-8"?>
<ds:datastoreItem xmlns:ds="http://schemas.openxmlformats.org/officeDocument/2006/customXml" ds:itemID="{81F02B8A-74FE-4937-97C7-850931A385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8c7a70-333b-437b-91d2-c52b75cc7b07"/>
    <ds:schemaRef ds:uri="a50c8483-829c-4b5b-81cb-af1ae13878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FC16D78-8716-4C72-B668-608001D07B8F}">
  <ds:schemaRefs>
    <ds:schemaRef ds:uri="http://schemas.microsoft.com/sharepoint/v3/contenttype/forms"/>
  </ds:schemaRefs>
</ds:datastoreItem>
</file>

<file path=customXml/itemProps3.xml><?xml version="1.0" encoding="utf-8"?>
<ds:datastoreItem xmlns:ds="http://schemas.openxmlformats.org/officeDocument/2006/customXml" ds:itemID="{48020C63-2B01-4514-B9BE-6EF1D4485EE2}">
  <ds:schemaRefs>
    <ds:schemaRef ds:uri="http://schemas.microsoft.com/office/2006/metadata/properties"/>
    <ds:schemaRef ds:uri="http://schemas.microsoft.com/office/infopath/2007/PartnerControls"/>
    <ds:schemaRef ds:uri="628c7a70-333b-437b-91d2-c52b75cc7b07"/>
    <ds:schemaRef ds:uri="a50c8483-829c-4b5b-81cb-af1ae13878c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Navngivne områder</vt:lpstr>
      </vt:variant>
      <vt:variant>
        <vt:i4>2</vt:i4>
      </vt:variant>
    </vt:vector>
  </HeadingPairs>
  <TitlesOfParts>
    <vt:vector size="6" baseType="lpstr">
      <vt:lpstr>Resultater</vt:lpstr>
      <vt:lpstr>Prisberegner</vt:lpstr>
      <vt:lpstr>Oplysninger</vt:lpstr>
      <vt:lpstr>Tabel resultat</vt:lpstr>
      <vt:lpstr>Prisberegner!Udskriftsområde</vt:lpstr>
      <vt:lpstr>Resultater!Udskriftsområde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ush@danskfjernvarme.dk</dc:creator>
  <cp:keywords/>
  <dc:description/>
  <cp:lastModifiedBy>Kristina Jørgensen</cp:lastModifiedBy>
  <cp:revision/>
  <dcterms:created xsi:type="dcterms:W3CDTF">2014-02-23T12:10:08Z</dcterms:created>
  <dcterms:modified xsi:type="dcterms:W3CDTF">2024-12-12T14:03:56Z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0x0101003F644EC154761B4F8AB4D481154DC34D</vt:lpwstr>
  </property>
  <property fmtid="{D5CDD505-2E9C-101B-9397-08002B2CF9AE}" pid="3" name="Order">
    <vt:r8>4091600</vt:r8>
  </property>
  <property fmtid="{D5CDD505-2E9C-101B-9397-08002B2CF9AE}" pid="4" name="MSIP_Label_45ac038e-9da4-405c-acd4-6db6cda7aeac_Enabled">
    <vt:lpwstr>True</vt:lpwstr>
  </property>
  <property fmtid="{D5CDD505-2E9C-101B-9397-08002B2CF9AE}" pid="5" name="MSIP_Label_45ac038e-9da4-405c-acd4-6db6cda7aeac_SiteId">
    <vt:lpwstr>ae869315-5357-4cc3-b9c7-f556d09de2aa</vt:lpwstr>
  </property>
  <property fmtid="{D5CDD505-2E9C-101B-9397-08002B2CF9AE}" pid="6" name="MSIP_Label_45ac038e-9da4-405c-acd4-6db6cda7aeac_Owner">
    <vt:lpwstr>USH@danskfjernvarme.dk</vt:lpwstr>
  </property>
  <property fmtid="{D5CDD505-2E9C-101B-9397-08002B2CF9AE}" pid="7" name="MSIP_Label_45ac038e-9da4-405c-acd4-6db6cda7aeac_SetDate">
    <vt:lpwstr>2021-01-07T09:07:21.5792052Z</vt:lpwstr>
  </property>
  <property fmtid="{D5CDD505-2E9C-101B-9397-08002B2CF9AE}" pid="8" name="MSIP_Label_45ac038e-9da4-405c-acd4-6db6cda7aeac_Name">
    <vt:lpwstr>Public</vt:lpwstr>
  </property>
  <property fmtid="{D5CDD505-2E9C-101B-9397-08002B2CF9AE}" pid="9" name="MSIP_Label_45ac038e-9da4-405c-acd4-6db6cda7aeac_Application">
    <vt:lpwstr>Microsoft Azure Information Protection</vt:lpwstr>
  </property>
  <property fmtid="{D5CDD505-2E9C-101B-9397-08002B2CF9AE}" pid="10" name="MSIP_Label_45ac038e-9da4-405c-acd4-6db6cda7aeac_ActionId">
    <vt:lpwstr>1ae02005-90ab-4971-8d0c-9fd3e69b898f</vt:lpwstr>
  </property>
  <property fmtid="{D5CDD505-2E9C-101B-9397-08002B2CF9AE}" pid="11" name="MSIP_Label_45ac038e-9da4-405c-acd4-6db6cda7aeac_Extended_MSFT_Method">
    <vt:lpwstr>Automatic</vt:lpwstr>
  </property>
  <property fmtid="{D5CDD505-2E9C-101B-9397-08002B2CF9AE}" pid="12" name="Sensitivity">
    <vt:lpwstr>Public</vt:lpwstr>
  </property>
  <property fmtid="{D5CDD505-2E9C-101B-9397-08002B2CF9AE}" pid="13" name="_dlc_DocIdItemGuid">
    <vt:lpwstr>1b740854-7096-488c-b699-ea3c12054d2e</vt:lpwstr>
  </property>
  <property fmtid="{D5CDD505-2E9C-101B-9397-08002B2CF9AE}" pid="14" name="MediaServiceImageTags">
    <vt:lpwstr/>
  </property>
</Properties>
</file>